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5112" windowHeight="7716" activeTab="0"/>
  </bookViews>
  <sheets>
    <sheet name="лист" sheetId="1" r:id="rId1"/>
  </sheets>
  <definedNames>
    <definedName name="_xlfn.AGGREGATE" hidden="1">#NAME?</definedName>
    <definedName name="_xlnm.Print_Titles" localSheetId="0">'лист'!$6:$8</definedName>
    <definedName name="_xlnm.Print_Area" localSheetId="0">'лист'!$A$1:$H$135</definedName>
  </definedNames>
  <calcPr fullCalcOnLoad="1"/>
</workbook>
</file>

<file path=xl/sharedStrings.xml><?xml version="1.0" encoding="utf-8"?>
<sst xmlns="http://schemas.openxmlformats.org/spreadsheetml/2006/main" count="137" uniqueCount="131">
  <si>
    <t>Назва напрямків</t>
  </si>
  <si>
    <t>Разом  видатків на поточний рік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</si>
  <si>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</si>
  <si>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</si>
  <si>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</si>
  <si>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</si>
  <si>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</si>
  <si>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</si>
  <si>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</si>
  <si>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</si>
  <si>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ВСЬОГО ВИДАТКІВ</t>
  </si>
  <si>
    <t>Поточний ремонт та утримання технічних засобів регулювання дорожнього руху</t>
  </si>
  <si>
    <t>Загальний фонд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</si>
  <si>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</si>
  <si>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</si>
  <si>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</si>
  <si>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</si>
  <si>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</si>
  <si>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</si>
  <si>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</si>
  <si>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</si>
  <si>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</si>
  <si>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</si>
  <si>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</si>
  <si>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об'єктів вулично-дорожньої мережі)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</si>
  <si>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</si>
  <si>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</si>
  <si>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</si>
  <si>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 вул.Гоголя (тротуар, парна сторона від вул.Митницької до вул.Небесної Сотні)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</si>
  <si>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</si>
  <si>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</si>
  <si>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 xml:space="preserve">Капітальний ремонт провулку Рибальський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</si>
  <si>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</si>
  <si>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</si>
  <si>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</si>
  <si>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</si>
  <si>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</si>
  <si>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Реконструкція вул. Бидгощська (тротуар, парна сторона, від вул. С. Кішки до вул. Пастерівська)</t>
  </si>
  <si>
    <t>Реконструкція вул. Гагаріна (від парку  Сосновий Бір  до узвозу Франка) в м. Черкаси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</si>
  <si>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</si>
  <si>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</si>
  <si>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Капітальний ремонт внутрішньоквартального проїзду від вул. Волкова, 103 до вул. Амброса, 12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</si>
  <si>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</si>
  <si>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</si>
  <si>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</si>
  <si>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бульв. Шевченка (тротуари від вул. Припортова до вул. Добровольського),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</si>
  <si>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</si>
  <si>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</si>
  <si>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</si>
  <si>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</si>
  <si>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вул. Героїв Дніпра  (від вул. Сержанта Смірнова до вул. Козацька), в м. Черкаси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</si>
  <si>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</si>
  <si>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</si>
  <si>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 Чехова від вул. Нижня Горова до вул. Гетьмана Сагайдачного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</si>
  <si>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</si>
  <si>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</si>
  <si>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</si>
  <si>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вул.Квіткова від вул.Сумгаїтської до вул.Хоменко</t>
  </si>
  <si>
    <t>Будівництво набережної між вул. Козацька та вул. С. Смірнова м. Черкаси (виготовлення ПКД)</t>
  </si>
  <si>
    <t>Використання коштів,</t>
  </si>
  <si>
    <t xml:space="preserve">  передбачених на проведення робіт, пов'язаних із будівництвом, реконструкцією, ремонтом та утриманням автомобільних доріг у 2020 році</t>
  </si>
  <si>
    <t>Відсоток виконання до річного плану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</si>
  <si>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</si>
  <si>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буд. № 1 по вул. Десантників до житлового будинку № 23 по вул. Вернигори</t>
  </si>
  <si>
    <t>Капітальний ремонт міжквартального проїзду від вул. Чехова до вул. Юрія Іллєнка, 11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</si>
  <si>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</si>
  <si>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Капітальний ремонт пішохідної алеї від вул. Героїв Дніпра вздовж житловго будинку № 51 до ЗОШ НВК № 34</t>
  </si>
  <si>
    <t>Капітальний  ремонт пішохідної алеї від вул.Героїв Дніпра вздовж житлового будинку №69 до ДНЗ №34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</si>
  <si>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</si>
  <si>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</si>
  <si>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вул.Гетьмана Сагайдачного 237 до вул. Подолинського 24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</si>
  <si>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</si>
  <si>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</si>
  <si>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</si>
  <si>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</si>
  <si>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</si>
  <si>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</si>
  <si>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ремонт пішохідної алеї по вул. Хрещатик (непарна сторона, від вул. Університетська до вул. Крилова)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</si>
  <si>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</si>
  <si>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</si>
  <si>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Капітальний ремонт вул. Вернигори (тротуар, непарна сторона від вул. Смілянська до житлового будинку № 21 по вул. Вернигори)</t>
  </si>
  <si>
    <t xml:space="preserve">Капітальний ремонт вул. Гоголя (тротуар, парна сторона, від вул. В.Чорновола до вул. Ю.Іллєнка)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</si>
  <si>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</si>
  <si>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</si>
  <si>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вул. Нарбутівська (тротуар, парна сторона, від вул. Cемеренківська до вул. Подолинського) в м. Черкаси</t>
  </si>
  <si>
    <t>Капітальний ремонт вул. Новопричистенська (тротуар, парна сторона, від вул.Гоголя до вул.Благовісна)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</si>
  <si>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</si>
  <si>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</si>
  <si>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вул. Пацаєва (тротуару від житлового будинку 14 до будинку 24 по вул. Пацаєва)</t>
  </si>
  <si>
    <t>Капітальний ремонт вул. Смаглія (тротуар, парна сторона, від вул. Онопрієнка до вул. О. Панченка)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</si>
  <si>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</si>
  <si>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Смілянська (тротуар, парна сторона від залізничного мосту до вул. Вернигори)</t>
  </si>
  <si>
    <t>Капітальний ремонт вул. Хрещатик (тротуар, паркувальний майданчик, непарна сторона) від вул. Франка до вул. Пушкіна</t>
  </si>
  <si>
    <t>Капітальний ремонт пров. Поштовий в м.Черкаси</t>
  </si>
  <si>
    <t>Капітальний ремонт вул. Весела в м.Черкаси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</si>
  <si>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</si>
  <si>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Максима Кривоноса (від вул. Героїв Чорнобиля до вул. Крилова)</t>
  </si>
  <si>
    <t>Капітальний ремонт вул. Пацаєва (встановлення світлофору біля ЗОШ № 14) в м. Черкаси</t>
  </si>
  <si>
    <t>Капітальний ремонт вул. Університетська (парна сторона, від вул. Надпільна до вул. І. Гонти)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</si>
  <si>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</si>
  <si>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Генерела Момота (перехрестя з вулицями Онопрієнка, Лісова Просіка)</t>
  </si>
  <si>
    <t xml:space="preserve">Капітальний  ремонт внутрішньоквартального проїзду вул. Благовісна буд.330; буд. 332  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</si>
  <si>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</si>
  <si>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внутрішньоквартального проїзду вул. Різдвяна буд. 9 до вул. Ю. Іллєнка  буд. 22 в м. Черкаси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</si>
  <si>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</si>
  <si>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</si>
  <si>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</si>
  <si>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 xml:space="preserve">Капітальний ремонт вул. Нарбутівська від вул. Ю. Іллєнка до вул.  Різдвяна м. Черкаси </t>
  </si>
  <si>
    <t>Капітальний ремонт вул. Ю. Іллєнка від вул. Нарбутівська до вул. Нижня Горова  в м. Черкаси (виготовлення ПКД)</t>
  </si>
  <si>
    <t>Реконструкція вул. Б. Вишневецького (тротуар) від вул. Хрещатик до Замкового узвозу, м. Черкаси</t>
  </si>
  <si>
    <t>Реконструкція сходів з вулиці Верхня Горова до вул. Гагаріна (біля Саду мрій)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</si>
  <si>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</si>
  <si>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</si>
  <si>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</si>
  <si>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</si>
  <si>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Менделєєва від вул. Санаторної до вул. Я. Галана </t>
  </si>
  <si>
    <t xml:space="preserve">Реконструкція вул. Різдвяна від вул. Толстого до вул. Нарбутівська м. Черкаси </t>
  </si>
  <si>
    <t>Реконструкція вул. Сержанта Жужоми (від вул. Гагаріна до вул. Героїв Дніпра) в м. Черкаси</t>
  </si>
  <si>
    <t>Реконструкція вул.Сумгаїтської від межі міста до вул. Одеської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</si>
  <si>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</si>
  <si>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</si>
  <si>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</si>
  <si>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</si>
  <si>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вул. Гагаріна від вул. С.Жужоми до вул. С.Смірнова м. Черкаси</t>
  </si>
  <si>
    <t>Капітальний ремонт вул. Десантників (тротуар, парна, непарна сторона) від  вул. Вернигори до вул. Хоменка</t>
  </si>
  <si>
    <t>Капітальний ремонт вул. Гоголя (тротуар, парна та непарна сторона, від вул. Казбетська до вул. Крилова)</t>
  </si>
  <si>
    <t>Реконструкція бул. Шевченка від вул. Лазарєва до вул. Б.Вишневецького м. Черкаси</t>
  </si>
  <si>
    <t>Капітальний ремонт бульв. Шевченка від вул. Університетської до вул. Можайського</t>
  </si>
  <si>
    <t>Реконструкція вул. Новопречистенська від вул. Гетьмана Сагайдачного до вул. С. Амброса в м. Черкаси (виготовлення ПКД)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</si>
  <si>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</si>
  <si>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Профінансовано на 29.05.2020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</si>
</sst>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9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7" fillId="3" borderId="0" applyNumberFormat="0" applyBorder="0" applyAlignment="0" applyProtection="0"/>
    <xf numFmtId="0" fontId="51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2" fillId="47" borderId="12" applyNumberFormat="0" applyAlignment="0" applyProtection="0"/>
    <xf numFmtId="0" fontId="19" fillId="0" borderId="13" applyNumberFormat="0" applyFill="0" applyAlignment="0" applyProtection="0"/>
    <xf numFmtId="0" fontId="53" fillId="51" borderId="0" applyNumberFormat="0" applyBorder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111" applyFont="1">
      <alignment/>
      <protection/>
    </xf>
    <xf numFmtId="0" fontId="27" fillId="0" borderId="0" xfId="111" applyFont="1">
      <alignment/>
      <protection/>
    </xf>
    <xf numFmtId="0" fontId="29" fillId="0" borderId="0" xfId="111" applyFont="1" applyAlignment="1">
      <alignment horizontal="center" wrapText="1"/>
      <protection/>
    </xf>
    <xf numFmtId="0" fontId="29" fillId="52" borderId="14" xfId="111" applyFont="1" applyFill="1" applyBorder="1" applyAlignment="1">
      <alignment horizontal="center"/>
      <protection/>
    </xf>
    <xf numFmtId="0" fontId="29" fillId="52" borderId="14" xfId="111" applyFont="1" applyFill="1" applyBorder="1" applyAlignment="1">
      <alignment horizontal="left" wrapText="1"/>
      <protection/>
    </xf>
    <xf numFmtId="4" fontId="29" fillId="52" borderId="14" xfId="130" applyNumberFormat="1" applyFont="1" applyFill="1" applyBorder="1" applyAlignment="1">
      <alignment horizontal="center" vertical="center"/>
    </xf>
    <xf numFmtId="49" fontId="30" fillId="0" borderId="14" xfId="111" applyNumberFormat="1" applyFont="1" applyFill="1" applyBorder="1" applyAlignment="1">
      <alignment horizontal="center" vertical="center" wrapText="1"/>
      <protection/>
    </xf>
    <xf numFmtId="0" fontId="0" fillId="0" borderId="0" xfId="111" applyFont="1" applyAlignment="1">
      <alignment horizontal="center"/>
      <protection/>
    </xf>
    <xf numFmtId="0" fontId="27" fillId="0" borderId="0" xfId="111" applyFont="1" applyAlignment="1">
      <alignment horizontal="right"/>
      <protection/>
    </xf>
    <xf numFmtId="0" fontId="0" fillId="0" borderId="14" xfId="111" applyFont="1" applyBorder="1">
      <alignment/>
      <protection/>
    </xf>
    <xf numFmtId="0" fontId="27" fillId="0" borderId="14" xfId="111" applyFont="1" applyBorder="1" applyAlignment="1">
      <alignment horizontal="center"/>
      <protection/>
    </xf>
    <xf numFmtId="0" fontId="4" fillId="0" borderId="0" xfId="111" applyFont="1">
      <alignment/>
      <protection/>
    </xf>
    <xf numFmtId="0" fontId="30" fillId="0" borderId="14" xfId="111" applyFont="1" applyFill="1" applyBorder="1" applyAlignment="1">
      <alignment horizontal="left" wrapText="1"/>
      <protection/>
    </xf>
    <xf numFmtId="4" fontId="30" fillId="0" borderId="14" xfId="106" applyNumberFormat="1" applyFont="1" applyFill="1" applyBorder="1" applyAlignment="1">
      <alignment horizontal="center"/>
      <protection/>
    </xf>
    <xf numFmtId="0" fontId="0" fillId="0" borderId="0" xfId="111" applyFont="1" applyFill="1">
      <alignment/>
      <protection/>
    </xf>
    <xf numFmtId="0" fontId="32" fillId="0" borderId="14" xfId="111" applyFont="1" applyFill="1" applyBorder="1" applyAlignment="1">
      <alignment horizontal="left" wrapText="1"/>
      <protection/>
    </xf>
    <xf numFmtId="4" fontId="32" fillId="0" borderId="14" xfId="106" applyNumberFormat="1" applyFont="1" applyFill="1" applyBorder="1" applyAlignment="1">
      <alignment horizontal="center"/>
      <protection/>
    </xf>
    <xf numFmtId="16" fontId="29" fillId="52" borderId="14" xfId="111" applyNumberFormat="1" applyFont="1" applyFill="1" applyBorder="1" applyAlignment="1">
      <alignment horizontal="center"/>
      <protection/>
    </xf>
    <xf numFmtId="0" fontId="29" fillId="52" borderId="14" xfId="111" applyFont="1" applyFill="1" applyBorder="1" applyAlignment="1">
      <alignment horizontal="center" vertical="center" wrapText="1"/>
      <protection/>
    </xf>
    <xf numFmtId="0" fontId="28" fillId="0" borderId="0" xfId="111" applyFont="1" applyAlignment="1">
      <alignment horizontal="center" wrapText="1"/>
      <protection/>
    </xf>
    <xf numFmtId="49" fontId="32" fillId="0" borderId="14" xfId="111" applyNumberFormat="1" applyFont="1" applyFill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vertical="top" wrapText="1"/>
    </xf>
    <xf numFmtId="0" fontId="33" fillId="0" borderId="0" xfId="111" applyFont="1">
      <alignment/>
      <protection/>
    </xf>
    <xf numFmtId="49" fontId="34" fillId="0" borderId="14" xfId="111" applyNumberFormat="1" applyFont="1" applyFill="1" applyBorder="1" applyAlignment="1">
      <alignment horizontal="center" vertical="center" wrapText="1"/>
      <protection/>
    </xf>
    <xf numFmtId="0" fontId="34" fillId="0" borderId="14" xfId="0" applyFont="1" applyFill="1" applyBorder="1" applyAlignment="1">
      <alignment vertical="top" wrapText="1"/>
    </xf>
    <xf numFmtId="4" fontId="34" fillId="0" borderId="14" xfId="106" applyNumberFormat="1" applyFont="1" applyFill="1" applyBorder="1" applyAlignment="1">
      <alignment horizontal="center"/>
      <protection/>
    </xf>
    <xf numFmtId="0" fontId="5" fillId="0" borderId="0" xfId="111" applyFont="1">
      <alignment/>
      <protection/>
    </xf>
    <xf numFmtId="0" fontId="0" fillId="0" borderId="14" xfId="111" applyFont="1" applyFill="1" applyBorder="1">
      <alignment/>
      <protection/>
    </xf>
    <xf numFmtId="0" fontId="33" fillId="0" borderId="14" xfId="111" applyFont="1" applyBorder="1">
      <alignment/>
      <protection/>
    </xf>
    <xf numFmtId="0" fontId="20" fillId="0" borderId="14" xfId="106" applyFont="1" applyBorder="1" applyAlignment="1">
      <alignment horizontal="center" vertical="center" wrapText="1"/>
      <protection/>
    </xf>
    <xf numFmtId="0" fontId="29" fillId="0" borderId="14" xfId="111" applyFont="1" applyFill="1" applyBorder="1" applyAlignment="1">
      <alignment horizontal="center" wrapText="1"/>
      <protection/>
    </xf>
    <xf numFmtId="4" fontId="29" fillId="0" borderId="14" xfId="106" applyNumberFormat="1" applyFont="1" applyFill="1" applyBorder="1" applyAlignment="1">
      <alignment horizontal="center"/>
      <protection/>
    </xf>
    <xf numFmtId="0" fontId="29" fillId="0" borderId="14" xfId="111" applyFont="1" applyFill="1" applyBorder="1" applyAlignment="1">
      <alignment horizontal="center"/>
      <protection/>
    </xf>
    <xf numFmtId="0" fontId="33" fillId="0" borderId="0" xfId="111" applyFont="1" applyFill="1">
      <alignment/>
      <protection/>
    </xf>
    <xf numFmtId="4" fontId="29" fillId="0" borderId="14" xfId="130" applyNumberFormat="1" applyFont="1" applyFill="1" applyBorder="1" applyAlignment="1">
      <alignment horizontal="center" vertical="center"/>
    </xf>
    <xf numFmtId="16" fontId="29" fillId="53" borderId="0" xfId="111" applyNumberFormat="1" applyFont="1" applyFill="1" applyBorder="1" applyAlignment="1">
      <alignment horizontal="center"/>
      <protection/>
    </xf>
    <xf numFmtId="0" fontId="35" fillId="53" borderId="0" xfId="111" applyFont="1" applyFill="1" applyBorder="1" applyAlignment="1">
      <alignment horizontal="center" vertical="center" wrapText="1"/>
      <protection/>
    </xf>
    <xf numFmtId="4" fontId="29" fillId="53" borderId="0" xfId="130" applyNumberFormat="1" applyFont="1" applyFill="1" applyBorder="1" applyAlignment="1">
      <alignment horizontal="center" vertical="center"/>
    </xf>
    <xf numFmtId="49" fontId="30" fillId="0" borderId="0" xfId="111" applyNumberFormat="1" applyFont="1" applyFill="1" applyBorder="1" applyAlignment="1">
      <alignment horizontal="center" vertical="center" wrapText="1"/>
      <protection/>
    </xf>
    <xf numFmtId="0" fontId="30" fillId="0" borderId="0" xfId="111" applyFont="1">
      <alignment/>
      <protection/>
    </xf>
    <xf numFmtId="0" fontId="30" fillId="0" borderId="0" xfId="111" applyFont="1" applyBorder="1" applyAlignment="1">
      <alignment vertical="top" wrapText="1"/>
      <protection/>
    </xf>
    <xf numFmtId="190" fontId="31" fillId="0" borderId="0" xfId="130" applyNumberFormat="1" applyFont="1" applyFill="1" applyBorder="1" applyAlignment="1">
      <alignment horizontal="center" vertical="center" wrapText="1"/>
    </xf>
    <xf numFmtId="0" fontId="29" fillId="54" borderId="14" xfId="111" applyFont="1" applyFill="1" applyBorder="1" applyAlignment="1">
      <alignment horizontal="center"/>
      <protection/>
    </xf>
    <xf numFmtId="4" fontId="29" fillId="54" borderId="14" xfId="130" applyNumberFormat="1" applyFont="1" applyFill="1" applyBorder="1" applyAlignment="1">
      <alignment horizontal="center" vertical="center"/>
    </xf>
    <xf numFmtId="0" fontId="29" fillId="0" borderId="15" xfId="111" applyFont="1" applyFill="1" applyBorder="1" applyAlignment="1">
      <alignment horizontal="center" wrapText="1"/>
      <protection/>
    </xf>
    <xf numFmtId="0" fontId="29" fillId="0" borderId="16" xfId="111" applyFont="1" applyFill="1" applyBorder="1" applyAlignment="1">
      <alignment horizontal="center" wrapText="1"/>
      <protection/>
    </xf>
    <xf numFmtId="0" fontId="0" fillId="0" borderId="15" xfId="111" applyFont="1" applyBorder="1">
      <alignment/>
      <protection/>
    </xf>
    <xf numFmtId="0" fontId="0" fillId="0" borderId="15" xfId="111" applyFont="1" applyFill="1" applyBorder="1">
      <alignment/>
      <protection/>
    </xf>
    <xf numFmtId="0" fontId="33" fillId="0" borderId="15" xfId="111" applyFont="1" applyBorder="1">
      <alignment/>
      <protection/>
    </xf>
    <xf numFmtId="4" fontId="29" fillId="0" borderId="15" xfId="106" applyNumberFormat="1" applyFont="1" applyFill="1" applyBorder="1" applyAlignment="1">
      <alignment horizontal="center"/>
      <protection/>
    </xf>
    <xf numFmtId="4" fontId="29" fillId="54" borderId="15" xfId="130" applyNumberFormat="1" applyFont="1" applyFill="1" applyBorder="1" applyAlignment="1">
      <alignment horizontal="center" vertical="center"/>
    </xf>
    <xf numFmtId="4" fontId="29" fillId="0" borderId="15" xfId="130" applyNumberFormat="1" applyFont="1" applyFill="1" applyBorder="1" applyAlignment="1">
      <alignment horizontal="center" vertical="center"/>
    </xf>
    <xf numFmtId="4" fontId="30" fillId="53" borderId="14" xfId="111" applyNumberFormat="1" applyFont="1" applyFill="1" applyBorder="1" applyAlignment="1">
      <alignment horizontal="center"/>
      <protection/>
    </xf>
    <xf numFmtId="4" fontId="30" fillId="54" borderId="14" xfId="106" applyNumberFormat="1" applyFont="1" applyFill="1" applyBorder="1" applyAlignment="1">
      <alignment horizontal="center"/>
      <protection/>
    </xf>
    <xf numFmtId="0" fontId="29" fillId="0" borderId="15" xfId="111" applyFont="1" applyBorder="1" applyAlignment="1">
      <alignment wrapText="1"/>
      <protection/>
    </xf>
    <xf numFmtId="0" fontId="29" fillId="0" borderId="17" xfId="111" applyFont="1" applyBorder="1" applyAlignment="1">
      <alignment wrapText="1"/>
      <protection/>
    </xf>
    <xf numFmtId="0" fontId="29" fillId="0" borderId="15" xfId="111" applyFont="1" applyFill="1" applyBorder="1" applyAlignment="1">
      <alignment wrapText="1"/>
      <protection/>
    </xf>
    <xf numFmtId="0" fontId="29" fillId="0" borderId="17" xfId="111" applyFont="1" applyFill="1" applyBorder="1" applyAlignment="1">
      <alignment wrapText="1"/>
      <protection/>
    </xf>
    <xf numFmtId="0" fontId="29" fillId="0" borderId="15" xfId="111" applyFont="1" applyBorder="1" applyAlignment="1">
      <alignment horizontal="center" wrapText="1"/>
      <protection/>
    </xf>
    <xf numFmtId="0" fontId="29" fillId="0" borderId="17" xfId="111" applyFont="1" applyBorder="1" applyAlignment="1">
      <alignment horizontal="center" wrapText="1"/>
      <protection/>
    </xf>
    <xf numFmtId="4" fontId="30" fillId="53" borderId="0" xfId="111" applyNumberFormat="1" applyFont="1" applyFill="1" applyBorder="1" applyAlignment="1">
      <alignment horizontal="center"/>
      <protection/>
    </xf>
    <xf numFmtId="4" fontId="32" fillId="53" borderId="14" xfId="111" applyNumberFormat="1" applyFont="1" applyFill="1" applyBorder="1" applyAlignment="1">
      <alignment horizontal="center"/>
      <protection/>
    </xf>
    <xf numFmtId="4" fontId="55" fillId="53" borderId="14" xfId="111" applyNumberFormat="1" applyFont="1" applyFill="1" applyBorder="1" applyAlignment="1">
      <alignment horizontal="center"/>
      <protection/>
    </xf>
    <xf numFmtId="4" fontId="55" fillId="0" borderId="14" xfId="106" applyNumberFormat="1" applyFont="1" applyFill="1" applyBorder="1" applyAlignment="1">
      <alignment horizontal="center"/>
      <protection/>
    </xf>
    <xf numFmtId="4" fontId="56" fillId="53" borderId="14" xfId="111" applyNumberFormat="1" applyFont="1" applyFill="1" applyBorder="1" applyAlignment="1">
      <alignment horizontal="center"/>
      <protection/>
    </xf>
    <xf numFmtId="0" fontId="30" fillId="0" borderId="0" xfId="111" applyFont="1" applyBorder="1">
      <alignment/>
      <protection/>
    </xf>
    <xf numFmtId="4" fontId="29" fillId="53" borderId="14" xfId="111" applyNumberFormat="1" applyFont="1" applyFill="1" applyBorder="1" applyAlignment="1">
      <alignment horizontal="center"/>
      <protection/>
    </xf>
    <xf numFmtId="4" fontId="57" fillId="53" borderId="14" xfId="111" applyNumberFormat="1" applyFont="1" applyFill="1" applyBorder="1" applyAlignment="1">
      <alignment horizontal="center"/>
      <protection/>
    </xf>
    <xf numFmtId="0" fontId="33" fillId="0" borderId="14" xfId="111" applyFont="1" applyFill="1" applyBorder="1">
      <alignment/>
      <protection/>
    </xf>
    <xf numFmtId="0" fontId="20" fillId="0" borderId="14" xfId="106" applyFont="1" applyBorder="1" applyAlignment="1">
      <alignment horizontal="center" vertical="center" wrapText="1"/>
      <protection/>
    </xf>
    <xf numFmtId="0" fontId="27" fillId="0" borderId="0" xfId="111" applyFont="1" applyAlignment="1">
      <alignment wrapText="1"/>
      <protection/>
    </xf>
    <xf numFmtId="0" fontId="0" fillId="0" borderId="0" xfId="0" applyFont="1" applyAlignment="1">
      <alignment/>
    </xf>
    <xf numFmtId="0" fontId="29" fillId="0" borderId="14" xfId="111" applyFont="1" applyBorder="1" applyAlignment="1">
      <alignment horizontal="center" vertical="center"/>
      <protection/>
    </xf>
    <xf numFmtId="0" fontId="28" fillId="0" borderId="0" xfId="111" applyFont="1" applyAlignment="1">
      <alignment horizontal="center"/>
      <protection/>
    </xf>
    <xf numFmtId="0" fontId="28" fillId="0" borderId="0" xfId="111" applyFont="1" applyAlignment="1">
      <alignment horizontal="center" wrapText="1"/>
      <protection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8 до бюджету 2012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яснення" xfId="124"/>
    <cellStyle name="Текст предупреждения" xfId="125"/>
    <cellStyle name="Тысячи [0]_Розподіл (2)" xfId="126"/>
    <cellStyle name="Тысячи_Розподіл (2)" xfId="127"/>
    <cellStyle name="Comma" xfId="128"/>
    <cellStyle name="Comma [0]" xfId="129"/>
    <cellStyle name="Финансовый_дод 8 до бюджету 2012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view="pageBreakPreview" zoomScale="6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37" sqref="A137:IV170"/>
    </sheetView>
  </sheetViews>
  <sheetFormatPr defaultColWidth="9.33203125" defaultRowHeight="12.75"/>
  <cols>
    <col min="1" max="1" width="8.5" style="1" customWidth="1"/>
    <col min="2" max="2" width="169.5" style="1" customWidth="1"/>
    <col min="3" max="3" width="30.66015625" style="8" customWidth="1"/>
    <col min="4" max="4" width="22.16015625" style="1" customWidth="1"/>
    <col min="5" max="5" width="18.66015625" style="1" customWidth="1"/>
    <col min="6" max="6" width="20" style="1" customWidth="1"/>
    <col min="7" max="7" width="18.66015625" style="1" customWidth="1"/>
    <col min="8" max="8" width="20.5" style="1" customWidth="1"/>
    <col min="9" max="16384" width="9.33203125" style="1" customWidth="1"/>
  </cols>
  <sheetData>
    <row r="1" spans="3:4" ht="65.25" customHeight="1">
      <c r="C1" s="71"/>
      <c r="D1" s="72"/>
    </row>
    <row r="2" spans="2:8" ht="21" customHeight="1">
      <c r="B2" s="74" t="s">
        <v>59</v>
      </c>
      <c r="C2" s="74"/>
      <c r="D2" s="74"/>
      <c r="E2" s="74"/>
      <c r="F2" s="74"/>
      <c r="G2" s="74"/>
      <c r="H2" s="74"/>
    </row>
    <row r="3" spans="2:8" ht="20.25" customHeight="1">
      <c r="B3" s="75" t="s">
        <v>60</v>
      </c>
      <c r="C3" s="75"/>
      <c r="D3" s="75"/>
      <c r="E3" s="75"/>
      <c r="F3" s="75"/>
      <c r="G3" s="75"/>
      <c r="H3" s="75"/>
    </row>
    <row r="4" spans="1:4" ht="20.25" customHeight="1">
      <c r="A4" s="20"/>
      <c r="B4" s="20"/>
      <c r="C4" s="20"/>
      <c r="D4" s="20"/>
    </row>
    <row r="5" spans="2:4" ht="13.5" customHeight="1">
      <c r="B5" s="3"/>
      <c r="C5" s="2"/>
      <c r="D5" s="9" t="s">
        <v>16</v>
      </c>
    </row>
    <row r="6" spans="1:8" ht="12" customHeight="1">
      <c r="A6" s="73" t="s">
        <v>2</v>
      </c>
      <c r="B6" s="73" t="s">
        <v>0</v>
      </c>
      <c r="C6" s="70" t="s">
        <v>1</v>
      </c>
      <c r="D6" s="70" t="s">
        <v>12</v>
      </c>
      <c r="E6" s="70" t="s">
        <v>19</v>
      </c>
      <c r="F6" s="11" t="s">
        <v>20</v>
      </c>
      <c r="G6" s="70" t="s">
        <v>130</v>
      </c>
      <c r="H6" s="70" t="s">
        <v>61</v>
      </c>
    </row>
    <row r="7" spans="1:8" ht="36" customHeight="1">
      <c r="A7" s="73"/>
      <c r="B7" s="73"/>
      <c r="C7" s="70"/>
      <c r="D7" s="70"/>
      <c r="E7" s="70"/>
      <c r="F7" s="30" t="s">
        <v>21</v>
      </c>
      <c r="G7" s="70"/>
      <c r="H7" s="70"/>
    </row>
    <row r="8" spans="1:8" ht="14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</row>
    <row r="9" spans="1:8" s="12" customFormat="1" ht="19.5" customHeight="1">
      <c r="A9" s="55"/>
      <c r="B9" s="59" t="s">
        <v>4</v>
      </c>
      <c r="C9" s="56"/>
      <c r="D9" s="56"/>
      <c r="E9" s="56"/>
      <c r="F9" s="56"/>
      <c r="G9" s="56"/>
      <c r="H9" s="60"/>
    </row>
    <row r="10" spans="1:8" ht="17.25">
      <c r="A10" s="4">
        <v>1</v>
      </c>
      <c r="B10" s="5" t="s">
        <v>3</v>
      </c>
      <c r="C10" s="6">
        <f>D10+E10</f>
        <v>173536838.67999998</v>
      </c>
      <c r="D10" s="6">
        <f>D11</f>
        <v>125205253.78999999</v>
      </c>
      <c r="E10" s="6">
        <f>E11+E25</f>
        <v>48331584.889999986</v>
      </c>
      <c r="F10" s="6">
        <f>F11+F25</f>
        <v>48331336.569999985</v>
      </c>
      <c r="G10" s="6">
        <f>G11+G25</f>
        <v>45374291.06</v>
      </c>
      <c r="H10" s="6">
        <f>(G10/(C10))*100</f>
        <v>26.146777482601085</v>
      </c>
    </row>
    <row r="11" spans="1:8" ht="18">
      <c r="A11" s="7"/>
      <c r="B11" s="31" t="s">
        <v>5</v>
      </c>
      <c r="C11" s="32">
        <f>SUM(C12:C16)+C17</f>
        <v>125205502.11</v>
      </c>
      <c r="D11" s="32">
        <f>SUM(D12:D16)+D17</f>
        <v>125205253.78999999</v>
      </c>
      <c r="E11" s="32">
        <f>SUM(E12:E16)+E17</f>
        <v>248.32</v>
      </c>
      <c r="F11" s="32"/>
      <c r="G11" s="32">
        <f>SUM(G12:G16)+G17</f>
        <v>36637113.92</v>
      </c>
      <c r="H11" s="32">
        <f>(G11/(D11))*100</f>
        <v>29.261642631585932</v>
      </c>
    </row>
    <row r="12" spans="1:8" ht="18">
      <c r="A12" s="7"/>
      <c r="B12" s="13" t="s">
        <v>6</v>
      </c>
      <c r="C12" s="14">
        <f>D12</f>
        <v>27000000</v>
      </c>
      <c r="D12" s="14">
        <f>40000000-16600000+3600000</f>
        <v>27000000</v>
      </c>
      <c r="E12" s="10"/>
      <c r="F12" s="47"/>
      <c r="G12" s="14"/>
      <c r="H12" s="64">
        <f aca="true" t="shared" si="0" ref="H12:H23">(G12/(D12))*100</f>
        <v>0</v>
      </c>
    </row>
    <row r="13" spans="1:8" s="15" customFormat="1" ht="18">
      <c r="A13" s="7"/>
      <c r="B13" s="13" t="s">
        <v>9</v>
      </c>
      <c r="C13" s="14">
        <f>D13</f>
        <v>7500000</v>
      </c>
      <c r="D13" s="14">
        <v>7500000</v>
      </c>
      <c r="E13" s="28"/>
      <c r="F13" s="48"/>
      <c r="G13" s="14">
        <f>137067.72+350806.16+199442.41+199329.76+198628.89+108918.8+147051.35+199793+199629+387477+180925+468641+151778</f>
        <v>2929488.09</v>
      </c>
      <c r="H13" s="14">
        <f t="shared" si="0"/>
        <v>39.0598412</v>
      </c>
    </row>
    <row r="14" spans="1:8" ht="18">
      <c r="A14" s="7"/>
      <c r="B14" s="13" t="s">
        <v>11</v>
      </c>
      <c r="C14" s="14">
        <f>D14</f>
        <v>5000000</v>
      </c>
      <c r="D14" s="14">
        <v>5000000</v>
      </c>
      <c r="E14" s="10"/>
      <c r="F14" s="47"/>
      <c r="G14" s="14">
        <f>199829+724807</f>
        <v>924636</v>
      </c>
      <c r="H14" s="14">
        <f t="shared" si="0"/>
        <v>18.492720000000002</v>
      </c>
    </row>
    <row r="15" spans="1:8" ht="36">
      <c r="A15" s="7"/>
      <c r="B15" s="13" t="s">
        <v>24</v>
      </c>
      <c r="C15" s="14">
        <f>D15+E15</f>
        <v>250248.32</v>
      </c>
      <c r="D15" s="14">
        <v>250000</v>
      </c>
      <c r="E15" s="14">
        <v>248.32</v>
      </c>
      <c r="F15" s="47"/>
      <c r="G15" s="14"/>
      <c r="H15" s="64">
        <f t="shared" si="0"/>
        <v>0</v>
      </c>
    </row>
    <row r="16" spans="1:8" ht="24" customHeight="1">
      <c r="A16" s="7"/>
      <c r="B16" s="13" t="s">
        <v>22</v>
      </c>
      <c r="C16" s="14">
        <f>D16</f>
        <v>14523753.79</v>
      </c>
      <c r="D16" s="14">
        <f>27750000-10000000-3226246.21</f>
        <v>14523753.79</v>
      </c>
      <c r="E16" s="10"/>
      <c r="F16" s="47"/>
      <c r="G16" s="14">
        <f>6997540.98+594652.5+1148101.7+2233165.44+1548947.25</f>
        <v>12522407.87</v>
      </c>
      <c r="H16" s="14">
        <f t="shared" si="0"/>
        <v>86.22018832777253</v>
      </c>
    </row>
    <row r="17" spans="1:8" s="27" customFormat="1" ht="36">
      <c r="A17" s="24"/>
      <c r="B17" s="25" t="s">
        <v>13</v>
      </c>
      <c r="C17" s="26">
        <f>D17</f>
        <v>70931500</v>
      </c>
      <c r="D17" s="26">
        <f>SUM(D18:D24)</f>
        <v>70931500</v>
      </c>
      <c r="E17" s="26"/>
      <c r="F17" s="26"/>
      <c r="G17" s="26">
        <f>SUM(G18:G24)</f>
        <v>20260581.96</v>
      </c>
      <c r="H17" s="26">
        <f t="shared" si="0"/>
        <v>28.56358875816809</v>
      </c>
    </row>
    <row r="18" spans="1:8" s="23" customFormat="1" ht="15.75" customHeight="1">
      <c r="A18" s="21"/>
      <c r="B18" s="16" t="s">
        <v>6</v>
      </c>
      <c r="C18" s="17">
        <f aca="true" t="shared" si="1" ref="C18:C24">D18</f>
        <v>44660771</v>
      </c>
      <c r="D18" s="17">
        <f>24160771+20500000+10000000-10000000</f>
        <v>44660771</v>
      </c>
      <c r="E18" s="29"/>
      <c r="F18" s="49"/>
      <c r="G18" s="17">
        <f>620453.34+771948.36+17123.62+121351+628239.21+14988.8+111120.88+567240.63+36810.02+69255.18+728404.21+16004.52+273100+441781.4+103022.32+1143604.71+51070+499660.2+156186.92+737882.06+840161.61+566229.11+698942.6+929454.2</f>
        <v>10144034.9</v>
      </c>
      <c r="H18" s="62">
        <f t="shared" si="0"/>
        <v>22.713523911174754</v>
      </c>
    </row>
    <row r="19" spans="1:8" s="23" customFormat="1" ht="18">
      <c r="A19" s="21"/>
      <c r="B19" s="16" t="s">
        <v>7</v>
      </c>
      <c r="C19" s="17">
        <f t="shared" si="1"/>
        <v>3800014</v>
      </c>
      <c r="D19" s="17">
        <v>3800014</v>
      </c>
      <c r="E19" s="29"/>
      <c r="F19" s="49"/>
      <c r="G19" s="17">
        <f>106676.56+405054+34871.76+78566.4</f>
        <v>625168.72</v>
      </c>
      <c r="H19" s="62">
        <f t="shared" si="0"/>
        <v>16.451747809350177</v>
      </c>
    </row>
    <row r="20" spans="1:8" s="23" customFormat="1" ht="18">
      <c r="A20" s="21"/>
      <c r="B20" s="16" t="s">
        <v>8</v>
      </c>
      <c r="C20" s="17">
        <f t="shared" si="1"/>
        <v>2700000</v>
      </c>
      <c r="D20" s="17">
        <v>2700000</v>
      </c>
      <c r="E20" s="29"/>
      <c r="F20" s="49"/>
      <c r="G20" s="17">
        <f>224136.4+28166.1+174007.5+125725.5</f>
        <v>552035.5</v>
      </c>
      <c r="H20" s="62">
        <f t="shared" si="0"/>
        <v>20.44575925925926</v>
      </c>
    </row>
    <row r="21" spans="1:8" s="23" customFormat="1" ht="18">
      <c r="A21" s="21"/>
      <c r="B21" s="16" t="s">
        <v>23</v>
      </c>
      <c r="C21" s="17">
        <f t="shared" si="1"/>
        <v>1862874</v>
      </c>
      <c r="D21" s="17">
        <v>1862874</v>
      </c>
      <c r="E21" s="29"/>
      <c r="F21" s="49"/>
      <c r="G21" s="17">
        <f>37507.91+54524.79+88165+54406.88+43890+10413.01+56745.62+43223.15+102924.97+64365.81+54915.66+195890+53526.45</f>
        <v>860499.2500000001</v>
      </c>
      <c r="H21" s="62">
        <f t="shared" si="0"/>
        <v>46.19202640650952</v>
      </c>
    </row>
    <row r="22" spans="1:8" s="23" customFormat="1" ht="18">
      <c r="A22" s="21"/>
      <c r="B22" s="22" t="s">
        <v>14</v>
      </c>
      <c r="C22" s="17">
        <f t="shared" si="1"/>
        <v>5800000</v>
      </c>
      <c r="D22" s="17">
        <v>5800000</v>
      </c>
      <c r="E22" s="29"/>
      <c r="F22" s="49"/>
      <c r="G22" s="17"/>
      <c r="H22" s="65">
        <f t="shared" si="0"/>
        <v>0</v>
      </c>
    </row>
    <row r="23" spans="1:8" s="23" customFormat="1" ht="18">
      <c r="A23" s="21"/>
      <c r="B23" s="16" t="s">
        <v>11</v>
      </c>
      <c r="C23" s="17">
        <f t="shared" si="1"/>
        <v>2249988</v>
      </c>
      <c r="D23" s="17">
        <f>2399988-150000</f>
        <v>2249988</v>
      </c>
      <c r="E23" s="29"/>
      <c r="F23" s="49"/>
      <c r="G23" s="17">
        <f>142644.68+9174.74+150000+181961.92+12749.29+6375.6+5914.46+92998.28</f>
        <v>601818.97</v>
      </c>
      <c r="H23" s="62">
        <f t="shared" si="0"/>
        <v>26.74765243192408</v>
      </c>
    </row>
    <row r="24" spans="1:8" s="23" customFormat="1" ht="54">
      <c r="A24" s="21"/>
      <c r="B24" s="16" t="s">
        <v>15</v>
      </c>
      <c r="C24" s="17">
        <f t="shared" si="1"/>
        <v>9857853</v>
      </c>
      <c r="D24" s="17">
        <f>19857853-10000000</f>
        <v>9857853</v>
      </c>
      <c r="E24" s="29"/>
      <c r="F24" s="49"/>
      <c r="G24" s="17">
        <f>475948.77+857321.31+72937.06+566990+547239.48+183540.91+53507.5+73716.8+569235.94+125500+2992.8+5465.73+440920.34+70831+806438.55+29983.4+198779.98+59247.4+234422.6+33255.6+360099.11+8674.79+235407.77+564177.37+900390.41</f>
        <v>7477024.62</v>
      </c>
      <c r="H24" s="62">
        <f>(G24/(D24))*100</f>
        <v>75.84840857334757</v>
      </c>
    </row>
    <row r="25" spans="1:8" s="23" customFormat="1" ht="18" customHeight="1">
      <c r="A25" s="21"/>
      <c r="B25" s="31" t="s">
        <v>17</v>
      </c>
      <c r="C25" s="32">
        <f>SUM(C26:C82)</f>
        <v>48331336.569999985</v>
      </c>
      <c r="D25" s="32"/>
      <c r="E25" s="32">
        <f>SUM(E26:E82)</f>
        <v>48331336.569999985</v>
      </c>
      <c r="F25" s="50">
        <f>SUM(F26:F82)</f>
        <v>48331336.569999985</v>
      </c>
      <c r="G25" s="50">
        <f>SUM(G26:G82)</f>
        <v>8737177.14</v>
      </c>
      <c r="H25" s="67">
        <f>(G25/(E25))*100</f>
        <v>18.077665051421942</v>
      </c>
    </row>
    <row r="26" spans="1:8" s="23" customFormat="1" ht="18" customHeight="1">
      <c r="A26" s="21"/>
      <c r="B26" s="13" t="s">
        <v>62</v>
      </c>
      <c r="C26" s="14">
        <f aca="true" t="shared" si="2" ref="C26:C37">E26</f>
        <v>1154000</v>
      </c>
      <c r="D26" s="32"/>
      <c r="E26" s="14">
        <f aca="true" t="shared" si="3" ref="E26:E78">F26</f>
        <v>1154000</v>
      </c>
      <c r="F26" s="14">
        <v>1154000</v>
      </c>
      <c r="G26" s="14">
        <f>9000</f>
        <v>9000</v>
      </c>
      <c r="H26" s="53">
        <f aca="true" t="shared" si="4" ref="H26:H82">(G26/(E26))*100</f>
        <v>0.779896013864818</v>
      </c>
    </row>
    <row r="27" spans="1:8" s="23" customFormat="1" ht="18" customHeight="1">
      <c r="A27" s="21"/>
      <c r="B27" s="13" t="s">
        <v>63</v>
      </c>
      <c r="C27" s="14">
        <f t="shared" si="2"/>
        <v>1400000</v>
      </c>
      <c r="D27" s="32"/>
      <c r="E27" s="14">
        <f t="shared" si="3"/>
        <v>1400000</v>
      </c>
      <c r="F27" s="14">
        <v>1400000</v>
      </c>
      <c r="G27" s="14">
        <v>69600</v>
      </c>
      <c r="H27" s="53">
        <f t="shared" si="4"/>
        <v>4.9714285714285715</v>
      </c>
    </row>
    <row r="28" spans="1:8" s="23" customFormat="1" ht="18" customHeight="1">
      <c r="A28" s="21"/>
      <c r="B28" s="13" t="s">
        <v>64</v>
      </c>
      <c r="C28" s="14">
        <f t="shared" si="2"/>
        <v>1500000</v>
      </c>
      <c r="D28" s="32"/>
      <c r="E28" s="14">
        <f t="shared" si="3"/>
        <v>1500000</v>
      </c>
      <c r="F28" s="14">
        <v>1500000</v>
      </c>
      <c r="G28" s="14">
        <v>103000</v>
      </c>
      <c r="H28" s="53">
        <f t="shared" si="4"/>
        <v>6.866666666666667</v>
      </c>
    </row>
    <row r="29" spans="1:8" s="23" customFormat="1" ht="36">
      <c r="A29" s="21"/>
      <c r="B29" s="13" t="s">
        <v>65</v>
      </c>
      <c r="C29" s="14">
        <f t="shared" si="2"/>
        <v>1500000</v>
      </c>
      <c r="D29" s="32"/>
      <c r="E29" s="14">
        <f t="shared" si="3"/>
        <v>1500000</v>
      </c>
      <c r="F29" s="14">
        <v>1500000</v>
      </c>
      <c r="G29" s="14">
        <v>71134.73</v>
      </c>
      <c r="H29" s="53">
        <f t="shared" si="4"/>
        <v>4.742315333333333</v>
      </c>
    </row>
    <row r="30" spans="1:8" s="23" customFormat="1" ht="18" customHeight="1">
      <c r="A30" s="21"/>
      <c r="B30" s="13" t="s">
        <v>66</v>
      </c>
      <c r="C30" s="14">
        <f t="shared" si="2"/>
        <v>1490000</v>
      </c>
      <c r="D30" s="32"/>
      <c r="E30" s="14">
        <f t="shared" si="3"/>
        <v>1490000</v>
      </c>
      <c r="F30" s="14">
        <v>1490000</v>
      </c>
      <c r="G30" s="14">
        <v>70965</v>
      </c>
      <c r="H30" s="53">
        <f t="shared" si="4"/>
        <v>4.762751677852349</v>
      </c>
    </row>
    <row r="31" spans="1:8" s="23" customFormat="1" ht="18" customHeight="1">
      <c r="A31" s="21"/>
      <c r="B31" s="13" t="s">
        <v>67</v>
      </c>
      <c r="C31" s="14">
        <f t="shared" si="2"/>
        <v>1490000</v>
      </c>
      <c r="D31" s="32"/>
      <c r="E31" s="14">
        <f t="shared" si="3"/>
        <v>1490000</v>
      </c>
      <c r="F31" s="14">
        <v>1490000</v>
      </c>
      <c r="G31" s="14">
        <v>70965</v>
      </c>
      <c r="H31" s="53">
        <f t="shared" si="4"/>
        <v>4.762751677852349</v>
      </c>
    </row>
    <row r="32" spans="1:8" s="23" customFormat="1" ht="37.5" customHeight="1">
      <c r="A32" s="21"/>
      <c r="B32" s="13" t="s">
        <v>68</v>
      </c>
      <c r="C32" s="14">
        <f t="shared" si="2"/>
        <v>10000</v>
      </c>
      <c r="D32" s="32"/>
      <c r="E32" s="14">
        <f t="shared" si="3"/>
        <v>10000</v>
      </c>
      <c r="F32" s="14">
        <f>656000-646000</f>
        <v>10000</v>
      </c>
      <c r="G32" s="14"/>
      <c r="H32" s="63">
        <f t="shared" si="4"/>
        <v>0</v>
      </c>
    </row>
    <row r="33" spans="1:8" s="23" customFormat="1" ht="36">
      <c r="A33" s="21"/>
      <c r="B33" s="13" t="s">
        <v>69</v>
      </c>
      <c r="C33" s="14">
        <f t="shared" si="2"/>
        <v>1181000</v>
      </c>
      <c r="D33" s="32"/>
      <c r="E33" s="14">
        <f t="shared" si="3"/>
        <v>1181000</v>
      </c>
      <c r="F33" s="14">
        <v>1181000</v>
      </c>
      <c r="G33" s="14">
        <f>84597</f>
        <v>84597</v>
      </c>
      <c r="H33" s="53">
        <f t="shared" si="4"/>
        <v>7.163166807790009</v>
      </c>
    </row>
    <row r="34" spans="1:8" s="23" customFormat="1" ht="18" customHeight="1">
      <c r="A34" s="21"/>
      <c r="B34" s="13" t="s">
        <v>70</v>
      </c>
      <c r="C34" s="14">
        <f t="shared" si="2"/>
        <v>161206</v>
      </c>
      <c r="D34" s="32"/>
      <c r="E34" s="14">
        <f t="shared" si="3"/>
        <v>161206</v>
      </c>
      <c r="F34" s="14">
        <v>161206</v>
      </c>
      <c r="G34" s="14">
        <f>134338.8</f>
        <v>134338.8</v>
      </c>
      <c r="H34" s="53">
        <f t="shared" si="4"/>
        <v>83.33362281800925</v>
      </c>
    </row>
    <row r="35" spans="1:8" s="23" customFormat="1" ht="18" customHeight="1">
      <c r="A35" s="21"/>
      <c r="B35" s="13" t="s">
        <v>71</v>
      </c>
      <c r="C35" s="14">
        <f t="shared" si="2"/>
        <v>280000</v>
      </c>
      <c r="D35" s="32"/>
      <c r="E35" s="14">
        <f t="shared" si="3"/>
        <v>280000</v>
      </c>
      <c r="F35" s="14">
        <v>280000</v>
      </c>
      <c r="G35" s="14">
        <v>36000</v>
      </c>
      <c r="H35" s="53">
        <f t="shared" si="4"/>
        <v>12.857142857142856</v>
      </c>
    </row>
    <row r="36" spans="1:8" s="23" customFormat="1" ht="18" customHeight="1">
      <c r="A36" s="21"/>
      <c r="B36" s="13" t="s">
        <v>72</v>
      </c>
      <c r="C36" s="14">
        <f t="shared" si="2"/>
        <v>500000</v>
      </c>
      <c r="D36" s="32"/>
      <c r="E36" s="14">
        <f t="shared" si="3"/>
        <v>500000</v>
      </c>
      <c r="F36" s="14">
        <v>500000</v>
      </c>
      <c r="G36" s="14">
        <v>32000</v>
      </c>
      <c r="H36" s="53">
        <f t="shared" si="4"/>
        <v>6.4</v>
      </c>
    </row>
    <row r="37" spans="1:8" s="23" customFormat="1" ht="18" customHeight="1">
      <c r="A37" s="21"/>
      <c r="B37" s="13" t="s">
        <v>73</v>
      </c>
      <c r="C37" s="14">
        <f t="shared" si="2"/>
        <v>100000</v>
      </c>
      <c r="D37" s="32"/>
      <c r="E37" s="14">
        <f t="shared" si="3"/>
        <v>100000</v>
      </c>
      <c r="F37" s="14">
        <v>100000</v>
      </c>
      <c r="G37" s="14">
        <v>26000</v>
      </c>
      <c r="H37" s="53">
        <f t="shared" si="4"/>
        <v>26</v>
      </c>
    </row>
    <row r="38" spans="1:8" s="23" customFormat="1" ht="18" customHeight="1">
      <c r="A38" s="21"/>
      <c r="B38" s="13" t="s">
        <v>74</v>
      </c>
      <c r="C38" s="14">
        <f aca="true" t="shared" si="5" ref="C38:C82">E38</f>
        <v>30272.94</v>
      </c>
      <c r="D38" s="32"/>
      <c r="E38" s="14">
        <f t="shared" si="3"/>
        <v>30272.94</v>
      </c>
      <c r="F38" s="14">
        <v>30272.94</v>
      </c>
      <c r="G38" s="14"/>
      <c r="H38" s="63">
        <f t="shared" si="4"/>
        <v>0</v>
      </c>
    </row>
    <row r="39" spans="1:8" s="23" customFormat="1" ht="18" customHeight="1">
      <c r="A39" s="21"/>
      <c r="B39" s="13" t="s">
        <v>75</v>
      </c>
      <c r="C39" s="14">
        <f t="shared" si="5"/>
        <v>60000</v>
      </c>
      <c r="D39" s="32"/>
      <c r="E39" s="14">
        <f t="shared" si="3"/>
        <v>60000</v>
      </c>
      <c r="F39" s="14">
        <v>60000</v>
      </c>
      <c r="G39" s="14"/>
      <c r="H39" s="63">
        <f t="shared" si="4"/>
        <v>0</v>
      </c>
    </row>
    <row r="40" spans="1:8" s="23" customFormat="1" ht="18" customHeight="1">
      <c r="A40" s="21"/>
      <c r="B40" s="13" t="s">
        <v>76</v>
      </c>
      <c r="C40" s="14">
        <f t="shared" si="5"/>
        <v>1490000</v>
      </c>
      <c r="D40" s="32"/>
      <c r="E40" s="14">
        <f t="shared" si="3"/>
        <v>1490000</v>
      </c>
      <c r="F40" s="14">
        <v>1490000</v>
      </c>
      <c r="G40" s="14">
        <v>70965</v>
      </c>
      <c r="H40" s="53">
        <f t="shared" si="4"/>
        <v>4.762751677852349</v>
      </c>
    </row>
    <row r="41" spans="1:8" s="23" customFormat="1" ht="36" customHeight="1">
      <c r="A41" s="21"/>
      <c r="B41" s="13" t="s">
        <v>77</v>
      </c>
      <c r="C41" s="14">
        <f t="shared" si="5"/>
        <v>600000</v>
      </c>
      <c r="D41" s="32"/>
      <c r="E41" s="14">
        <f t="shared" si="3"/>
        <v>600000</v>
      </c>
      <c r="F41" s="14">
        <v>600000</v>
      </c>
      <c r="G41" s="14">
        <v>80000</v>
      </c>
      <c r="H41" s="53">
        <f t="shared" si="4"/>
        <v>13.333333333333334</v>
      </c>
    </row>
    <row r="42" spans="1:8" s="23" customFormat="1" ht="18" customHeight="1">
      <c r="A42" s="21"/>
      <c r="B42" s="13" t="s">
        <v>25</v>
      </c>
      <c r="C42" s="14">
        <f t="shared" si="5"/>
        <v>549417.6</v>
      </c>
      <c r="D42" s="32"/>
      <c r="E42" s="14">
        <f t="shared" si="3"/>
        <v>549417.6</v>
      </c>
      <c r="F42" s="14">
        <f>535175.6+14242</f>
        <v>549417.6</v>
      </c>
      <c r="G42" s="14">
        <f>338320</f>
        <v>338320</v>
      </c>
      <c r="H42" s="68">
        <f t="shared" si="4"/>
        <v>61.577932705468484</v>
      </c>
    </row>
    <row r="43" spans="1:8" s="23" customFormat="1" ht="18" customHeight="1">
      <c r="A43" s="21"/>
      <c r="B43" s="13" t="s">
        <v>78</v>
      </c>
      <c r="C43" s="14">
        <f t="shared" si="5"/>
        <v>812887.2</v>
      </c>
      <c r="D43" s="32"/>
      <c r="E43" s="14">
        <f t="shared" si="3"/>
        <v>812887.2</v>
      </c>
      <c r="F43" s="14">
        <f>425000+387887.2</f>
        <v>812887.2</v>
      </c>
      <c r="G43" s="14">
        <v>551794</v>
      </c>
      <c r="H43" s="63">
        <f t="shared" si="4"/>
        <v>67.88075885559522</v>
      </c>
    </row>
    <row r="44" spans="1:8" s="23" customFormat="1" ht="18" customHeight="1">
      <c r="A44" s="21"/>
      <c r="B44" s="13" t="s">
        <v>79</v>
      </c>
      <c r="C44" s="14">
        <f t="shared" si="5"/>
        <v>872194.8</v>
      </c>
      <c r="D44" s="32"/>
      <c r="E44" s="14">
        <f t="shared" si="3"/>
        <v>872194.8</v>
      </c>
      <c r="F44" s="14">
        <f>425000+447194.8</f>
        <v>872194.8</v>
      </c>
      <c r="G44" s="14">
        <v>336585</v>
      </c>
      <c r="H44" s="63">
        <f t="shared" si="4"/>
        <v>38.590576325380525</v>
      </c>
    </row>
    <row r="45" spans="1:8" s="23" customFormat="1" ht="18" customHeight="1">
      <c r="A45" s="21"/>
      <c r="B45" s="13" t="s">
        <v>26</v>
      </c>
      <c r="C45" s="14">
        <f t="shared" si="5"/>
        <v>163736</v>
      </c>
      <c r="D45" s="32"/>
      <c r="E45" s="14">
        <f t="shared" si="3"/>
        <v>163736</v>
      </c>
      <c r="F45" s="14">
        <v>163736</v>
      </c>
      <c r="G45" s="14"/>
      <c r="H45" s="63">
        <f t="shared" si="4"/>
        <v>0</v>
      </c>
    </row>
    <row r="46" spans="1:8" s="23" customFormat="1" ht="36" customHeight="1">
      <c r="A46" s="21"/>
      <c r="B46" s="13" t="s">
        <v>27</v>
      </c>
      <c r="C46" s="14">
        <f t="shared" si="5"/>
        <v>262000</v>
      </c>
      <c r="D46" s="32"/>
      <c r="E46" s="14">
        <f t="shared" si="3"/>
        <v>262000</v>
      </c>
      <c r="F46" s="14">
        <v>262000</v>
      </c>
      <c r="G46" s="14"/>
      <c r="H46" s="63">
        <f t="shared" si="4"/>
        <v>0</v>
      </c>
    </row>
    <row r="47" spans="1:8" s="23" customFormat="1" ht="18" customHeight="1">
      <c r="A47" s="21"/>
      <c r="B47" s="13" t="s">
        <v>80</v>
      </c>
      <c r="C47" s="14">
        <f t="shared" si="5"/>
        <v>120000</v>
      </c>
      <c r="D47" s="32"/>
      <c r="E47" s="14">
        <f t="shared" si="3"/>
        <v>120000</v>
      </c>
      <c r="F47" s="14">
        <f>1250000-1130000</f>
        <v>120000</v>
      </c>
      <c r="G47" s="14">
        <f>69423</f>
        <v>69423</v>
      </c>
      <c r="H47" s="53">
        <f t="shared" si="4"/>
        <v>57.85249999999999</v>
      </c>
    </row>
    <row r="48" spans="1:8" s="23" customFormat="1" ht="18" customHeight="1">
      <c r="A48" s="21"/>
      <c r="B48" s="13" t="s">
        <v>28</v>
      </c>
      <c r="C48" s="14">
        <f t="shared" si="5"/>
        <v>248321.41</v>
      </c>
      <c r="D48" s="32"/>
      <c r="E48" s="14">
        <f t="shared" si="3"/>
        <v>248321.41</v>
      </c>
      <c r="F48" s="14">
        <v>248321.41</v>
      </c>
      <c r="G48" s="14">
        <f>61079.6+11176</f>
        <v>72255.6</v>
      </c>
      <c r="H48" s="53">
        <f t="shared" si="4"/>
        <v>29.097611841041015</v>
      </c>
    </row>
    <row r="49" spans="1:8" s="23" customFormat="1" ht="18" customHeight="1">
      <c r="A49" s="21"/>
      <c r="B49" s="13" t="s">
        <v>81</v>
      </c>
      <c r="C49" s="14">
        <f t="shared" si="5"/>
        <v>1700000</v>
      </c>
      <c r="D49" s="32"/>
      <c r="E49" s="14">
        <f t="shared" si="3"/>
        <v>1700000</v>
      </c>
      <c r="F49" s="14">
        <v>1700000</v>
      </c>
      <c r="G49" s="14">
        <f>103000+759528.71</f>
        <v>862528.71</v>
      </c>
      <c r="H49" s="53">
        <f t="shared" si="4"/>
        <v>50.736982941176464</v>
      </c>
    </row>
    <row r="50" spans="1:8" s="23" customFormat="1" ht="18" customHeight="1">
      <c r="A50" s="21"/>
      <c r="B50" s="13" t="s">
        <v>124</v>
      </c>
      <c r="C50" s="14">
        <f t="shared" si="5"/>
        <v>900000</v>
      </c>
      <c r="D50" s="32"/>
      <c r="E50" s="14">
        <f t="shared" si="3"/>
        <v>900000</v>
      </c>
      <c r="F50" s="14">
        <v>900000</v>
      </c>
      <c r="G50" s="14">
        <f>79528</f>
        <v>79528</v>
      </c>
      <c r="H50" s="53">
        <f t="shared" si="4"/>
        <v>8.836444444444444</v>
      </c>
    </row>
    <row r="51" spans="1:8" s="23" customFormat="1" ht="18" customHeight="1">
      <c r="A51" s="21"/>
      <c r="B51" s="13" t="s">
        <v>82</v>
      </c>
      <c r="C51" s="14">
        <f>E51</f>
        <v>1490000</v>
      </c>
      <c r="D51" s="32"/>
      <c r="E51" s="14">
        <f t="shared" si="3"/>
        <v>1490000</v>
      </c>
      <c r="F51" s="14">
        <v>1490000</v>
      </c>
      <c r="G51" s="14">
        <f>83464</f>
        <v>83464</v>
      </c>
      <c r="H51" s="53">
        <f t="shared" si="4"/>
        <v>5.601610738255033</v>
      </c>
    </row>
    <row r="52" spans="1:8" s="23" customFormat="1" ht="18" customHeight="1">
      <c r="A52" s="21"/>
      <c r="B52" s="13" t="s">
        <v>29</v>
      </c>
      <c r="C52" s="14">
        <f>E52</f>
        <v>492463.4</v>
      </c>
      <c r="D52" s="32"/>
      <c r="E52" s="14">
        <f t="shared" si="3"/>
        <v>492463.4</v>
      </c>
      <c r="F52" s="14">
        <f>365279-53561+180745.4</f>
        <v>492463.4</v>
      </c>
      <c r="G52" s="14">
        <f>302826</f>
        <v>302826</v>
      </c>
      <c r="H52" s="53">
        <f t="shared" si="4"/>
        <v>61.492082457295304</v>
      </c>
    </row>
    <row r="53" spans="1:8" s="23" customFormat="1" ht="18" customHeight="1">
      <c r="A53" s="21"/>
      <c r="B53" s="13" t="s">
        <v>83</v>
      </c>
      <c r="C53" s="14">
        <f t="shared" si="5"/>
        <v>800000</v>
      </c>
      <c r="D53" s="32"/>
      <c r="E53" s="14">
        <f t="shared" si="3"/>
        <v>800000</v>
      </c>
      <c r="F53" s="14">
        <v>800000</v>
      </c>
      <c r="G53" s="14">
        <f>103000</f>
        <v>103000</v>
      </c>
      <c r="H53" s="53">
        <f t="shared" si="4"/>
        <v>12.875</v>
      </c>
    </row>
    <row r="54" spans="1:8" s="23" customFormat="1" ht="18" customHeight="1">
      <c r="A54" s="21"/>
      <c r="B54" s="13" t="s">
        <v>84</v>
      </c>
      <c r="C54" s="14">
        <f t="shared" si="5"/>
        <v>760000</v>
      </c>
      <c r="D54" s="32"/>
      <c r="E54" s="14">
        <f t="shared" si="3"/>
        <v>760000</v>
      </c>
      <c r="F54" s="14">
        <v>760000</v>
      </c>
      <c r="G54" s="14">
        <f>88000</f>
        <v>88000</v>
      </c>
      <c r="H54" s="53">
        <f t="shared" si="4"/>
        <v>11.578947368421053</v>
      </c>
    </row>
    <row r="55" spans="1:8" s="23" customFormat="1" ht="18" customHeight="1">
      <c r="A55" s="21"/>
      <c r="B55" s="13" t="s">
        <v>85</v>
      </c>
      <c r="C55" s="14">
        <f t="shared" si="5"/>
        <v>450000</v>
      </c>
      <c r="D55" s="32"/>
      <c r="E55" s="14">
        <f t="shared" si="3"/>
        <v>450000</v>
      </c>
      <c r="F55" s="14">
        <v>450000</v>
      </c>
      <c r="G55" s="14">
        <f>60000</f>
        <v>60000</v>
      </c>
      <c r="H55" s="53">
        <f t="shared" si="4"/>
        <v>13.333333333333334</v>
      </c>
    </row>
    <row r="56" spans="1:8" s="23" customFormat="1" ht="18" customHeight="1">
      <c r="A56" s="21"/>
      <c r="B56" s="13" t="s">
        <v>86</v>
      </c>
      <c r="C56" s="14">
        <f t="shared" si="5"/>
        <v>10000</v>
      </c>
      <c r="D56" s="32"/>
      <c r="E56" s="14">
        <f t="shared" si="3"/>
        <v>10000</v>
      </c>
      <c r="F56" s="14">
        <f>537000-527000</f>
        <v>10000</v>
      </c>
      <c r="G56" s="14"/>
      <c r="H56" s="63">
        <f t="shared" si="4"/>
        <v>0</v>
      </c>
    </row>
    <row r="57" spans="1:8" s="23" customFormat="1" ht="18" customHeight="1">
      <c r="A57" s="21"/>
      <c r="B57" s="13" t="s">
        <v>87</v>
      </c>
      <c r="C57" s="14">
        <f t="shared" si="5"/>
        <v>1384000</v>
      </c>
      <c r="D57" s="32"/>
      <c r="E57" s="14">
        <f t="shared" si="3"/>
        <v>1384000</v>
      </c>
      <c r="F57" s="14">
        <v>1384000</v>
      </c>
      <c r="G57" s="14">
        <f>677085.7+446454.8</f>
        <v>1123540.5</v>
      </c>
      <c r="H57" s="53">
        <f t="shared" si="4"/>
        <v>81.18067196531791</v>
      </c>
    </row>
    <row r="58" spans="1:8" s="23" customFormat="1" ht="18" customHeight="1">
      <c r="A58" s="21"/>
      <c r="B58" s="13" t="s">
        <v>88</v>
      </c>
      <c r="C58" s="14">
        <f t="shared" si="5"/>
        <v>37043</v>
      </c>
      <c r="D58" s="32"/>
      <c r="E58" s="14">
        <f t="shared" si="3"/>
        <v>37043</v>
      </c>
      <c r="F58" s="14">
        <v>37043</v>
      </c>
      <c r="G58" s="14"/>
      <c r="H58" s="63">
        <f t="shared" si="4"/>
        <v>0</v>
      </c>
    </row>
    <row r="59" spans="1:8" s="23" customFormat="1" ht="18" customHeight="1">
      <c r="A59" s="21"/>
      <c r="B59" s="13" t="s">
        <v>89</v>
      </c>
      <c r="C59" s="14">
        <f t="shared" si="5"/>
        <v>120000</v>
      </c>
      <c r="D59" s="32"/>
      <c r="E59" s="14">
        <f t="shared" si="3"/>
        <v>120000</v>
      </c>
      <c r="F59" s="14">
        <f>1480000-1360000</f>
        <v>120000</v>
      </c>
      <c r="G59" s="14">
        <f>87660</f>
        <v>87660</v>
      </c>
      <c r="H59" s="53">
        <f t="shared" si="4"/>
        <v>73.05</v>
      </c>
    </row>
    <row r="60" spans="1:8" s="23" customFormat="1" ht="18" customHeight="1">
      <c r="A60" s="21"/>
      <c r="B60" s="13" t="s">
        <v>90</v>
      </c>
      <c r="C60" s="14">
        <f t="shared" si="5"/>
        <v>1490000</v>
      </c>
      <c r="D60" s="32"/>
      <c r="E60" s="14">
        <f t="shared" si="3"/>
        <v>1490000</v>
      </c>
      <c r="F60" s="14">
        <v>1490000</v>
      </c>
      <c r="G60" s="14">
        <v>7500</v>
      </c>
      <c r="H60" s="53">
        <f t="shared" si="4"/>
        <v>0.5033557046979865</v>
      </c>
    </row>
    <row r="61" spans="1:8" s="23" customFormat="1" ht="18" customHeight="1">
      <c r="A61" s="21"/>
      <c r="B61" s="13" t="s">
        <v>91</v>
      </c>
      <c r="C61" s="14">
        <f t="shared" si="5"/>
        <v>10000</v>
      </c>
      <c r="D61" s="32"/>
      <c r="E61" s="14">
        <f t="shared" si="3"/>
        <v>10000</v>
      </c>
      <c r="F61" s="14">
        <f>2400000-2390000</f>
        <v>10000</v>
      </c>
      <c r="G61" s="14"/>
      <c r="H61" s="63">
        <f t="shared" si="4"/>
        <v>0</v>
      </c>
    </row>
    <row r="62" spans="1:8" s="23" customFormat="1" ht="18" customHeight="1">
      <c r="A62" s="21"/>
      <c r="B62" s="13" t="s">
        <v>30</v>
      </c>
      <c r="C62" s="14">
        <f t="shared" si="5"/>
        <v>563698.2</v>
      </c>
      <c r="D62" s="32"/>
      <c r="E62" s="14">
        <f t="shared" si="3"/>
        <v>563698.2</v>
      </c>
      <c r="F62" s="14">
        <f>363531+1878+198289.2</f>
        <v>563698.2</v>
      </c>
      <c r="G62" s="14">
        <f>356469</f>
        <v>356469</v>
      </c>
      <c r="H62" s="53">
        <f t="shared" si="4"/>
        <v>63.23756222744724</v>
      </c>
    </row>
    <row r="63" spans="1:8" s="23" customFormat="1" ht="18" customHeight="1">
      <c r="A63" s="21"/>
      <c r="B63" s="13" t="s">
        <v>92</v>
      </c>
      <c r="C63" s="14">
        <f t="shared" si="5"/>
        <v>990439.2</v>
      </c>
      <c r="D63" s="32"/>
      <c r="E63" s="14">
        <f t="shared" si="3"/>
        <v>990439.2</v>
      </c>
      <c r="F63" s="14">
        <f>283000+707439.2</f>
        <v>990439.2</v>
      </c>
      <c r="G63" s="14"/>
      <c r="H63" s="63">
        <f t="shared" si="4"/>
        <v>0</v>
      </c>
    </row>
    <row r="64" spans="1:8" s="23" customFormat="1" ht="18" customHeight="1">
      <c r="A64" s="21"/>
      <c r="B64" s="13" t="s">
        <v>93</v>
      </c>
      <c r="C64" s="14">
        <f t="shared" si="5"/>
        <v>350000</v>
      </c>
      <c r="D64" s="32"/>
      <c r="E64" s="14">
        <f t="shared" si="3"/>
        <v>350000</v>
      </c>
      <c r="F64" s="14">
        <f>700000-350000</f>
        <v>350000</v>
      </c>
      <c r="G64" s="14">
        <v>60000</v>
      </c>
      <c r="H64" s="53">
        <f t="shared" si="4"/>
        <v>17.142857142857142</v>
      </c>
    </row>
    <row r="65" spans="1:8" s="23" customFormat="1" ht="18" customHeight="1">
      <c r="A65" s="21"/>
      <c r="B65" s="13" t="s">
        <v>31</v>
      </c>
      <c r="C65" s="14">
        <f t="shared" si="5"/>
        <v>971238.81</v>
      </c>
      <c r="D65" s="32"/>
      <c r="E65" s="14">
        <f t="shared" si="3"/>
        <v>971238.81</v>
      </c>
      <c r="F65" s="14">
        <f>918000+53238.81</f>
        <v>971238.81</v>
      </c>
      <c r="G65" s="14"/>
      <c r="H65" s="63">
        <f t="shared" si="4"/>
        <v>0</v>
      </c>
    </row>
    <row r="66" spans="1:8" s="23" customFormat="1" ht="18" customHeight="1">
      <c r="A66" s="21"/>
      <c r="B66" s="13" t="s">
        <v>32</v>
      </c>
      <c r="C66" s="14">
        <f t="shared" si="5"/>
        <v>700000</v>
      </c>
      <c r="D66" s="32"/>
      <c r="E66" s="14">
        <f t="shared" si="3"/>
        <v>700000</v>
      </c>
      <c r="F66" s="14">
        <v>700000</v>
      </c>
      <c r="G66" s="14">
        <f>631827.24+15625</f>
        <v>647452.24</v>
      </c>
      <c r="H66" s="53">
        <f t="shared" si="4"/>
        <v>92.49317714285714</v>
      </c>
    </row>
    <row r="67" spans="1:8" s="23" customFormat="1" ht="36">
      <c r="A67" s="21"/>
      <c r="B67" s="13" t="s">
        <v>33</v>
      </c>
      <c r="C67" s="14">
        <f t="shared" si="5"/>
        <v>3442224</v>
      </c>
      <c r="D67" s="32"/>
      <c r="E67" s="14">
        <f t="shared" si="3"/>
        <v>3442224</v>
      </c>
      <c r="F67" s="14">
        <v>3442224</v>
      </c>
      <c r="G67" s="14"/>
      <c r="H67" s="63">
        <f t="shared" si="4"/>
        <v>0</v>
      </c>
    </row>
    <row r="68" spans="1:8" s="23" customFormat="1" ht="18" customHeight="1">
      <c r="A68" s="21"/>
      <c r="B68" s="13" t="s">
        <v>94</v>
      </c>
      <c r="C68" s="14">
        <f t="shared" si="5"/>
        <v>500000</v>
      </c>
      <c r="D68" s="32"/>
      <c r="E68" s="14">
        <f t="shared" si="3"/>
        <v>500000</v>
      </c>
      <c r="F68" s="14">
        <f>1000000-500000</f>
        <v>500000</v>
      </c>
      <c r="G68" s="14">
        <v>78000</v>
      </c>
      <c r="H68" s="53">
        <f t="shared" si="4"/>
        <v>15.6</v>
      </c>
    </row>
    <row r="69" spans="1:8" s="23" customFormat="1" ht="36">
      <c r="A69" s="21"/>
      <c r="B69" s="13" t="s">
        <v>95</v>
      </c>
      <c r="C69" s="14">
        <f t="shared" si="5"/>
        <v>134745</v>
      </c>
      <c r="D69" s="32"/>
      <c r="E69" s="14">
        <f t="shared" si="3"/>
        <v>134745</v>
      </c>
      <c r="F69" s="14">
        <v>134745</v>
      </c>
      <c r="G69" s="14"/>
      <c r="H69" s="63">
        <f t="shared" si="4"/>
        <v>0</v>
      </c>
    </row>
    <row r="70" spans="1:8" s="23" customFormat="1" ht="18" customHeight="1">
      <c r="A70" s="21"/>
      <c r="B70" s="13" t="s">
        <v>125</v>
      </c>
      <c r="C70" s="14">
        <f t="shared" si="5"/>
        <v>100000</v>
      </c>
      <c r="D70" s="32"/>
      <c r="E70" s="14">
        <f t="shared" si="3"/>
        <v>100000</v>
      </c>
      <c r="F70" s="14">
        <f>1500000-1400000</f>
        <v>100000</v>
      </c>
      <c r="G70" s="14">
        <v>93000</v>
      </c>
      <c r="H70" s="53">
        <f t="shared" si="4"/>
        <v>93</v>
      </c>
    </row>
    <row r="71" spans="1:8" s="23" customFormat="1" ht="18" customHeight="1">
      <c r="A71" s="21"/>
      <c r="B71" s="13" t="s">
        <v>96</v>
      </c>
      <c r="C71" s="14">
        <f t="shared" si="5"/>
        <v>700000</v>
      </c>
      <c r="D71" s="32"/>
      <c r="E71" s="14">
        <f t="shared" si="3"/>
        <v>700000</v>
      </c>
      <c r="F71" s="14">
        <f>1300000-600000</f>
        <v>700000</v>
      </c>
      <c r="G71" s="14">
        <v>80000</v>
      </c>
      <c r="H71" s="53">
        <f t="shared" si="4"/>
        <v>11.428571428571429</v>
      </c>
    </row>
    <row r="72" spans="1:8" s="23" customFormat="1" ht="18" customHeight="1">
      <c r="A72" s="21"/>
      <c r="B72" s="13" t="s">
        <v>97</v>
      </c>
      <c r="C72" s="14">
        <f t="shared" si="5"/>
        <v>356592.92</v>
      </c>
      <c r="D72" s="32"/>
      <c r="E72" s="14">
        <f t="shared" si="3"/>
        <v>356592.92</v>
      </c>
      <c r="F72" s="14">
        <v>356592.92</v>
      </c>
      <c r="G72" s="14">
        <f>28000+296606.55</f>
        <v>324606.55</v>
      </c>
      <c r="H72" s="53">
        <f t="shared" si="4"/>
        <v>91.03000418516442</v>
      </c>
    </row>
    <row r="73" spans="1:8" s="23" customFormat="1" ht="18" customHeight="1">
      <c r="A73" s="21"/>
      <c r="B73" s="13" t="s">
        <v>34</v>
      </c>
      <c r="C73" s="14">
        <f t="shared" si="5"/>
        <v>588015.05</v>
      </c>
      <c r="D73" s="32"/>
      <c r="E73" s="14">
        <f t="shared" si="3"/>
        <v>588015.05</v>
      </c>
      <c r="F73" s="14">
        <v>588015.05</v>
      </c>
      <c r="G73" s="14"/>
      <c r="H73" s="63">
        <f t="shared" si="4"/>
        <v>0</v>
      </c>
    </row>
    <row r="74" spans="1:8" s="23" customFormat="1" ht="18" customHeight="1">
      <c r="A74" s="21"/>
      <c r="B74" s="13" t="s">
        <v>35</v>
      </c>
      <c r="C74" s="14">
        <f t="shared" si="5"/>
        <v>4898912.05</v>
      </c>
      <c r="D74" s="32"/>
      <c r="E74" s="14">
        <f t="shared" si="3"/>
        <v>4898912.05</v>
      </c>
      <c r="F74" s="14">
        <v>4898912.05</v>
      </c>
      <c r="G74" s="14">
        <v>1072922.66</v>
      </c>
      <c r="H74" s="53">
        <f t="shared" si="4"/>
        <v>21.90124356284371</v>
      </c>
    </row>
    <row r="75" spans="1:8" s="23" customFormat="1" ht="18" customHeight="1">
      <c r="A75" s="21"/>
      <c r="B75" s="13" t="s">
        <v>98</v>
      </c>
      <c r="C75" s="14">
        <f t="shared" si="5"/>
        <v>80000</v>
      </c>
      <c r="D75" s="32"/>
      <c r="E75" s="14">
        <f t="shared" si="3"/>
        <v>80000</v>
      </c>
      <c r="F75" s="14">
        <f>750000-670000</f>
        <v>80000</v>
      </c>
      <c r="G75" s="14">
        <f>80000</f>
        <v>80000</v>
      </c>
      <c r="H75" s="53">
        <f t="shared" si="4"/>
        <v>100</v>
      </c>
    </row>
    <row r="76" spans="1:8" s="23" customFormat="1" ht="39" customHeight="1">
      <c r="A76" s="21"/>
      <c r="B76" s="13" t="s">
        <v>36</v>
      </c>
      <c r="C76" s="14">
        <f t="shared" si="5"/>
        <v>1500000</v>
      </c>
      <c r="D76" s="32"/>
      <c r="E76" s="14">
        <f t="shared" si="3"/>
        <v>1500000</v>
      </c>
      <c r="F76" s="14">
        <f>3655000-2155000</f>
        <v>1500000</v>
      </c>
      <c r="G76" s="14"/>
      <c r="H76" s="63">
        <f t="shared" si="4"/>
        <v>0</v>
      </c>
    </row>
    <row r="77" spans="1:8" s="23" customFormat="1" ht="18" customHeight="1">
      <c r="A77" s="21"/>
      <c r="B77" s="13" t="s">
        <v>37</v>
      </c>
      <c r="C77" s="14">
        <f t="shared" si="5"/>
        <v>298246.8</v>
      </c>
      <c r="D77" s="32"/>
      <c r="E77" s="14">
        <f t="shared" si="3"/>
        <v>298246.8</v>
      </c>
      <c r="F77" s="14">
        <f>272000+26246.8</f>
        <v>298246.8</v>
      </c>
      <c r="G77" s="14">
        <v>271999.2</v>
      </c>
      <c r="H77" s="53">
        <f t="shared" si="4"/>
        <v>91.19936911309695</v>
      </c>
    </row>
    <row r="78" spans="1:8" s="23" customFormat="1" ht="18" customHeight="1">
      <c r="A78" s="21"/>
      <c r="B78" s="13" t="s">
        <v>99</v>
      </c>
      <c r="C78" s="14">
        <f t="shared" si="5"/>
        <v>400962.80000000005</v>
      </c>
      <c r="D78" s="32"/>
      <c r="E78" s="14">
        <f t="shared" si="3"/>
        <v>400962.80000000005</v>
      </c>
      <c r="F78" s="14">
        <f>477000+100962.8-177000</f>
        <v>400962.80000000005</v>
      </c>
      <c r="G78" s="14"/>
      <c r="H78" s="63">
        <f t="shared" si="4"/>
        <v>0</v>
      </c>
    </row>
    <row r="79" spans="1:8" s="23" customFormat="1" ht="18" customHeight="1">
      <c r="A79" s="21"/>
      <c r="B79" s="13" t="s">
        <v>39</v>
      </c>
      <c r="C79" s="14">
        <f t="shared" si="5"/>
        <v>640000</v>
      </c>
      <c r="D79" s="32"/>
      <c r="E79" s="14">
        <f>F79</f>
        <v>640000</v>
      </c>
      <c r="F79" s="14">
        <v>640000</v>
      </c>
      <c r="G79" s="14">
        <f>525585</f>
        <v>525585</v>
      </c>
      <c r="H79" s="53">
        <f t="shared" si="4"/>
        <v>82.12265625</v>
      </c>
    </row>
    <row r="80" spans="1:8" s="23" customFormat="1" ht="18" customHeight="1">
      <c r="A80" s="21"/>
      <c r="B80" s="13" t="s">
        <v>40</v>
      </c>
      <c r="C80" s="14">
        <f t="shared" si="5"/>
        <v>56033.83</v>
      </c>
      <c r="D80" s="32"/>
      <c r="E80" s="14">
        <f>F80</f>
        <v>56033.83</v>
      </c>
      <c r="F80" s="14">
        <v>56033.83</v>
      </c>
      <c r="G80" s="14">
        <f>54212.15</f>
        <v>54212.15</v>
      </c>
      <c r="H80" s="53">
        <f t="shared" si="4"/>
        <v>96.74896397408494</v>
      </c>
    </row>
    <row r="81" spans="1:8" s="23" customFormat="1" ht="18" customHeight="1">
      <c r="A81" s="21"/>
      <c r="B81" s="13" t="s">
        <v>38</v>
      </c>
      <c r="C81" s="14">
        <f t="shared" si="5"/>
        <v>341685.56</v>
      </c>
      <c r="D81" s="32"/>
      <c r="E81" s="14">
        <f>F81</f>
        <v>341685.56</v>
      </c>
      <c r="F81" s="14">
        <v>341685.56</v>
      </c>
      <c r="G81" s="14"/>
      <c r="H81" s="63">
        <f t="shared" si="4"/>
        <v>0</v>
      </c>
    </row>
    <row r="82" spans="1:8" s="23" customFormat="1" ht="18" customHeight="1">
      <c r="A82" s="21"/>
      <c r="B82" s="13" t="s">
        <v>100</v>
      </c>
      <c r="C82" s="14">
        <f t="shared" si="5"/>
        <v>5100000</v>
      </c>
      <c r="D82" s="32"/>
      <c r="E82" s="14">
        <f>F82</f>
        <v>5100000</v>
      </c>
      <c r="F82" s="14">
        <f>1500000+3600000</f>
        <v>5100000</v>
      </c>
      <c r="G82" s="14">
        <f>67940</f>
        <v>67940</v>
      </c>
      <c r="H82" s="53">
        <f t="shared" si="4"/>
        <v>1.3321568627450981</v>
      </c>
    </row>
    <row r="83" spans="6:8" ht="18" customHeight="1">
      <c r="F83" s="14"/>
      <c r="G83" s="10"/>
      <c r="H83" s="53"/>
    </row>
    <row r="84" spans="1:8" s="23" customFormat="1" ht="18" customHeight="1">
      <c r="A84" s="57"/>
      <c r="B84" s="45" t="s">
        <v>18</v>
      </c>
      <c r="C84" s="58"/>
      <c r="D84" s="58"/>
      <c r="E84" s="58"/>
      <c r="F84" s="58"/>
      <c r="G84" s="58"/>
      <c r="H84" s="46"/>
    </row>
    <row r="85" spans="1:8" s="23" customFormat="1" ht="17.25">
      <c r="A85" s="4">
        <v>2</v>
      </c>
      <c r="B85" s="5" t="s">
        <v>3</v>
      </c>
      <c r="C85" s="6">
        <f>C86+C88</f>
        <v>146971732.01000002</v>
      </c>
      <c r="D85" s="6">
        <f>D86</f>
        <v>420000</v>
      </c>
      <c r="E85" s="6">
        <f>E86+E88</f>
        <v>146551732.01000002</v>
      </c>
      <c r="F85" s="6">
        <f>F86+F88</f>
        <v>146551732.01000002</v>
      </c>
      <c r="G85" s="6">
        <f>G86+G88</f>
        <v>64486635.09</v>
      </c>
      <c r="H85" s="6">
        <f>H86+H88</f>
        <v>44.00264275662039</v>
      </c>
    </row>
    <row r="86" spans="1:8" s="23" customFormat="1" ht="17.25">
      <c r="A86" s="43"/>
      <c r="B86" s="31" t="s">
        <v>5</v>
      </c>
      <c r="C86" s="32">
        <f>C87</f>
        <v>420000</v>
      </c>
      <c r="D86" s="32">
        <f>SUM(D87:D94)+D95</f>
        <v>420000</v>
      </c>
      <c r="E86" s="44"/>
      <c r="F86" s="51"/>
      <c r="G86" s="32">
        <f>G87</f>
        <v>0</v>
      </c>
      <c r="H86" s="32">
        <f>(G86/(D86))*100</f>
        <v>0</v>
      </c>
    </row>
    <row r="87" spans="1:8" s="23" customFormat="1" ht="18">
      <c r="A87" s="43"/>
      <c r="B87" s="13" t="s">
        <v>8</v>
      </c>
      <c r="C87" s="14">
        <f>D87</f>
        <v>420000</v>
      </c>
      <c r="D87" s="14">
        <f>20000000-4580000-15000000</f>
        <v>420000</v>
      </c>
      <c r="E87" s="44"/>
      <c r="F87" s="51"/>
      <c r="G87" s="29"/>
      <c r="H87" s="32"/>
    </row>
    <row r="88" spans="1:8" s="34" customFormat="1" ht="18" customHeight="1">
      <c r="A88" s="33"/>
      <c r="B88" s="31" t="s">
        <v>17</v>
      </c>
      <c r="C88" s="35">
        <f>SUM(C89:C133)</f>
        <v>146551732.01000002</v>
      </c>
      <c r="D88" s="35"/>
      <c r="E88" s="35">
        <f>SUM(E89:E133)</f>
        <v>146551732.01000002</v>
      </c>
      <c r="F88" s="52">
        <f>SUM(F89:F133)</f>
        <v>146551732.01000002</v>
      </c>
      <c r="G88" s="52">
        <f>SUM(G89:G133)</f>
        <v>64486635.09</v>
      </c>
      <c r="H88" s="32">
        <f>(G88/(E88))*100</f>
        <v>44.00264275662039</v>
      </c>
    </row>
    <row r="89" spans="1:8" s="23" customFormat="1" ht="30" customHeight="1">
      <c r="A89" s="21"/>
      <c r="B89" s="13" t="s">
        <v>43</v>
      </c>
      <c r="C89" s="14">
        <f>E89</f>
        <v>1400000</v>
      </c>
      <c r="D89" s="17"/>
      <c r="E89" s="14">
        <f>F89</f>
        <v>1400000</v>
      </c>
      <c r="F89" s="14">
        <v>1400000</v>
      </c>
      <c r="G89" s="14">
        <f>207831.83</f>
        <v>207831.83</v>
      </c>
      <c r="H89" s="14">
        <f aca="true" t="shared" si="6" ref="H89:H133">(G89/(E89))*100</f>
        <v>14.845130714285714</v>
      </c>
    </row>
    <row r="90" spans="1:8" s="23" customFormat="1" ht="18" customHeight="1">
      <c r="A90" s="21"/>
      <c r="B90" s="13" t="s">
        <v>101</v>
      </c>
      <c r="C90" s="14">
        <f>E90</f>
        <v>1450000</v>
      </c>
      <c r="D90" s="17"/>
      <c r="E90" s="14">
        <f>F90</f>
        <v>1450000</v>
      </c>
      <c r="F90" s="14">
        <v>1450000</v>
      </c>
      <c r="G90" s="14">
        <f>46900+15776</f>
        <v>62676</v>
      </c>
      <c r="H90" s="14">
        <f t="shared" si="6"/>
        <v>4.32248275862069</v>
      </c>
    </row>
    <row r="91" spans="1:8" s="23" customFormat="1" ht="22.5" customHeight="1">
      <c r="A91" s="21"/>
      <c r="B91" s="13" t="s">
        <v>41</v>
      </c>
      <c r="C91" s="14">
        <f>E91</f>
        <v>843928</v>
      </c>
      <c r="D91" s="17"/>
      <c r="E91" s="14">
        <f>F91</f>
        <v>843928</v>
      </c>
      <c r="F91" s="14">
        <v>843928</v>
      </c>
      <c r="G91" s="14">
        <f>9178.47+69700.33</f>
        <v>78878.8</v>
      </c>
      <c r="H91" s="14">
        <f t="shared" si="6"/>
        <v>9.346626726450598</v>
      </c>
    </row>
    <row r="92" spans="1:8" s="23" customFormat="1" ht="22.5" customHeight="1">
      <c r="A92" s="21"/>
      <c r="B92" s="13" t="s">
        <v>129</v>
      </c>
      <c r="C92" s="14">
        <f aca="true" t="shared" si="7" ref="C92:C123">E92</f>
        <v>1300000</v>
      </c>
      <c r="D92" s="17"/>
      <c r="E92" s="14">
        <f aca="true" t="shared" si="8" ref="E92:E123">F92</f>
        <v>1300000</v>
      </c>
      <c r="F92" s="14">
        <v>1300000</v>
      </c>
      <c r="G92" s="14">
        <f>70000</f>
        <v>70000</v>
      </c>
      <c r="H92" s="14">
        <f t="shared" si="6"/>
        <v>5.384615384615385</v>
      </c>
    </row>
    <row r="93" spans="1:8" s="23" customFormat="1" ht="22.5" customHeight="1">
      <c r="A93" s="21"/>
      <c r="B93" s="13" t="s">
        <v>102</v>
      </c>
      <c r="C93" s="14">
        <f t="shared" si="7"/>
        <v>1360000</v>
      </c>
      <c r="D93" s="17"/>
      <c r="E93" s="14">
        <f t="shared" si="8"/>
        <v>1360000</v>
      </c>
      <c r="F93" s="14">
        <f>1450000-90000</f>
        <v>1360000</v>
      </c>
      <c r="G93" s="14">
        <f>46900+15219</f>
        <v>62119</v>
      </c>
      <c r="H93" s="14">
        <f t="shared" si="6"/>
        <v>4.5675735294117645</v>
      </c>
    </row>
    <row r="94" spans="1:8" s="23" customFormat="1" ht="22.5" customHeight="1">
      <c r="A94" s="21"/>
      <c r="B94" s="13" t="s">
        <v>103</v>
      </c>
      <c r="C94" s="14">
        <f t="shared" si="7"/>
        <v>1450000</v>
      </c>
      <c r="D94" s="17"/>
      <c r="E94" s="14">
        <f t="shared" si="8"/>
        <v>1450000</v>
      </c>
      <c r="F94" s="14">
        <v>1450000</v>
      </c>
      <c r="G94" s="14">
        <f>71895</f>
        <v>71895</v>
      </c>
      <c r="H94" s="14">
        <f t="shared" si="6"/>
        <v>4.958275862068966</v>
      </c>
    </row>
    <row r="95" spans="1:8" s="23" customFormat="1" ht="22.5" customHeight="1">
      <c r="A95" s="21"/>
      <c r="B95" s="13" t="s">
        <v>104</v>
      </c>
      <c r="C95" s="14">
        <f t="shared" si="7"/>
        <v>200000</v>
      </c>
      <c r="D95" s="17"/>
      <c r="E95" s="14">
        <f t="shared" si="8"/>
        <v>200000</v>
      </c>
      <c r="F95" s="14">
        <v>200000</v>
      </c>
      <c r="G95" s="14">
        <f>9355+15219</f>
        <v>24574</v>
      </c>
      <c r="H95" s="14">
        <f t="shared" si="6"/>
        <v>12.286999999999999</v>
      </c>
    </row>
    <row r="96" spans="1:8" s="23" customFormat="1" ht="22.5" customHeight="1">
      <c r="A96" s="21"/>
      <c r="B96" s="13" t="s">
        <v>105</v>
      </c>
      <c r="C96" s="14">
        <f t="shared" si="7"/>
        <v>1400000</v>
      </c>
      <c r="D96" s="17"/>
      <c r="E96" s="14">
        <f t="shared" si="8"/>
        <v>1400000</v>
      </c>
      <c r="F96" s="14">
        <v>1400000</v>
      </c>
      <c r="G96" s="14">
        <f>60885</f>
        <v>60885</v>
      </c>
      <c r="H96" s="14">
        <f t="shared" si="6"/>
        <v>4.348928571428572</v>
      </c>
    </row>
    <row r="97" spans="1:8" s="23" customFormat="1" ht="22.5" customHeight="1">
      <c r="A97" s="21"/>
      <c r="B97" s="13" t="s">
        <v>42</v>
      </c>
      <c r="C97" s="14">
        <f t="shared" si="7"/>
        <v>838910</v>
      </c>
      <c r="D97" s="17"/>
      <c r="E97" s="14">
        <f t="shared" si="8"/>
        <v>838910</v>
      </c>
      <c r="F97" s="14">
        <v>838910</v>
      </c>
      <c r="G97" s="14">
        <f>299000+11747.5</f>
        <v>310747.5</v>
      </c>
      <c r="H97" s="14">
        <f t="shared" si="6"/>
        <v>37.04181616621568</v>
      </c>
    </row>
    <row r="98" spans="1:8" s="23" customFormat="1" ht="22.5" customHeight="1">
      <c r="A98" s="21"/>
      <c r="B98" s="13" t="s">
        <v>106</v>
      </c>
      <c r="C98" s="14">
        <f t="shared" si="7"/>
        <v>18531</v>
      </c>
      <c r="D98" s="17"/>
      <c r="E98" s="14">
        <f t="shared" si="8"/>
        <v>18531</v>
      </c>
      <c r="F98" s="14">
        <v>18531</v>
      </c>
      <c r="G98" s="14"/>
      <c r="H98" s="64">
        <f t="shared" si="6"/>
        <v>0</v>
      </c>
    </row>
    <row r="99" spans="1:8" s="23" customFormat="1" ht="22.5" customHeight="1">
      <c r="A99" s="21"/>
      <c r="B99" s="13" t="s">
        <v>44</v>
      </c>
      <c r="C99" s="14">
        <f t="shared" si="7"/>
        <v>225374.49</v>
      </c>
      <c r="D99" s="17"/>
      <c r="E99" s="14">
        <f t="shared" si="8"/>
        <v>225374.49</v>
      </c>
      <c r="F99" s="14">
        <v>225374.49</v>
      </c>
      <c r="G99" s="14"/>
      <c r="H99" s="64">
        <f t="shared" si="6"/>
        <v>0</v>
      </c>
    </row>
    <row r="100" spans="1:8" s="23" customFormat="1" ht="22.5" customHeight="1">
      <c r="A100" s="21"/>
      <c r="B100" s="13" t="s">
        <v>45</v>
      </c>
      <c r="C100" s="14">
        <f t="shared" si="7"/>
        <v>5493486.05</v>
      </c>
      <c r="D100" s="17"/>
      <c r="E100" s="14">
        <f t="shared" si="8"/>
        <v>5493486.05</v>
      </c>
      <c r="F100" s="14">
        <f>1493486.05+4000000</f>
        <v>5493486.05</v>
      </c>
      <c r="G100" s="14">
        <f>358785.83+44621.69+658538.27+7400.77+240000-10008.48+351796.53</f>
        <v>1651134.61</v>
      </c>
      <c r="H100" s="14">
        <f t="shared" si="6"/>
        <v>30.056226501203188</v>
      </c>
    </row>
    <row r="101" spans="1:8" s="23" customFormat="1" ht="22.5" customHeight="1">
      <c r="A101" s="21"/>
      <c r="B101" s="13" t="s">
        <v>46</v>
      </c>
      <c r="C101" s="14">
        <f t="shared" si="7"/>
        <v>8900000</v>
      </c>
      <c r="D101" s="17"/>
      <c r="E101" s="14">
        <f t="shared" si="8"/>
        <v>8900000</v>
      </c>
      <c r="F101" s="14">
        <v>8900000</v>
      </c>
      <c r="G101" s="14">
        <f>1136331.6+29810.35+2524840.8</f>
        <v>3690982.75</v>
      </c>
      <c r="H101" s="14">
        <f t="shared" si="6"/>
        <v>41.47171629213483</v>
      </c>
    </row>
    <row r="102" spans="1:8" s="23" customFormat="1" ht="22.5" customHeight="1">
      <c r="A102" s="21"/>
      <c r="B102" s="13" t="s">
        <v>107</v>
      </c>
      <c r="C102" s="14">
        <f t="shared" si="7"/>
        <v>1832328.6</v>
      </c>
      <c r="D102" s="17"/>
      <c r="E102" s="14">
        <f t="shared" si="8"/>
        <v>1832328.6</v>
      </c>
      <c r="F102" s="14">
        <v>1832328.6</v>
      </c>
      <c r="G102" s="14">
        <f>13476.43</f>
        <v>13476.43</v>
      </c>
      <c r="H102" s="14">
        <f t="shared" si="6"/>
        <v>0.7354810703713297</v>
      </c>
    </row>
    <row r="103" spans="1:8" s="23" customFormat="1" ht="21" customHeight="1">
      <c r="A103" s="21"/>
      <c r="B103" s="13" t="s">
        <v>47</v>
      </c>
      <c r="C103" s="14">
        <f t="shared" si="7"/>
        <v>30773906.64</v>
      </c>
      <c r="D103" s="17"/>
      <c r="E103" s="14">
        <f t="shared" si="8"/>
        <v>30773906.64</v>
      </c>
      <c r="F103" s="14">
        <f>30000000-4226093.36+5000000</f>
        <v>30773906.64</v>
      </c>
      <c r="G103" s="14">
        <f>4995872.38+14120877.63+42574.94+5415057.81+4650568.13+38867.72</f>
        <v>29263818.61</v>
      </c>
      <c r="H103" s="14">
        <f t="shared" si="6"/>
        <v>95.09295960481928</v>
      </c>
    </row>
    <row r="104" spans="1:8" s="23" customFormat="1" ht="22.5" customHeight="1">
      <c r="A104" s="21"/>
      <c r="B104" s="13" t="s">
        <v>108</v>
      </c>
      <c r="C104" s="14">
        <f t="shared" si="7"/>
        <v>900000</v>
      </c>
      <c r="D104" s="17"/>
      <c r="E104" s="14">
        <f t="shared" si="8"/>
        <v>900000</v>
      </c>
      <c r="F104" s="14">
        <v>900000</v>
      </c>
      <c r="G104" s="14"/>
      <c r="H104" s="64">
        <f t="shared" si="6"/>
        <v>0</v>
      </c>
    </row>
    <row r="105" spans="1:8" s="23" customFormat="1" ht="22.5" customHeight="1">
      <c r="A105" s="21"/>
      <c r="B105" s="13" t="s">
        <v>127</v>
      </c>
      <c r="C105" s="14">
        <f t="shared" si="7"/>
        <v>4415679.03</v>
      </c>
      <c r="D105" s="17"/>
      <c r="E105" s="14">
        <f t="shared" si="8"/>
        <v>4415679.03</v>
      </c>
      <c r="F105" s="14">
        <v>4415679.03</v>
      </c>
      <c r="G105" s="14">
        <f>2140829.85+201487.57</f>
        <v>2342317.42</v>
      </c>
      <c r="H105" s="14">
        <f t="shared" si="6"/>
        <v>53.045463768683376</v>
      </c>
    </row>
    <row r="106" spans="1:8" s="23" customFormat="1" ht="22.5" customHeight="1">
      <c r="A106" s="21"/>
      <c r="B106" s="13" t="s">
        <v>109</v>
      </c>
      <c r="C106" s="14">
        <f t="shared" si="7"/>
        <v>50000</v>
      </c>
      <c r="D106" s="17"/>
      <c r="E106" s="14">
        <f t="shared" si="8"/>
        <v>50000</v>
      </c>
      <c r="F106" s="14">
        <v>50000</v>
      </c>
      <c r="G106" s="14">
        <f>25908</f>
        <v>25908</v>
      </c>
      <c r="H106" s="14">
        <f t="shared" si="6"/>
        <v>51.815999999999995</v>
      </c>
    </row>
    <row r="107" spans="1:8" s="23" customFormat="1" ht="22.5" customHeight="1">
      <c r="A107" s="21"/>
      <c r="B107" s="13" t="s">
        <v>48</v>
      </c>
      <c r="C107" s="14">
        <f t="shared" si="7"/>
        <v>28662</v>
      </c>
      <c r="D107" s="17"/>
      <c r="E107" s="14">
        <f t="shared" si="8"/>
        <v>28662</v>
      </c>
      <c r="F107" s="14">
        <v>28662</v>
      </c>
      <c r="G107" s="14"/>
      <c r="H107" s="64">
        <f t="shared" si="6"/>
        <v>0</v>
      </c>
    </row>
    <row r="108" spans="1:8" s="23" customFormat="1" ht="22.5" customHeight="1">
      <c r="A108" s="21"/>
      <c r="B108" s="13" t="s">
        <v>49</v>
      </c>
      <c r="C108" s="14">
        <f t="shared" si="7"/>
        <v>587032</v>
      </c>
      <c r="D108" s="17"/>
      <c r="E108" s="14">
        <f t="shared" si="8"/>
        <v>587032</v>
      </c>
      <c r="F108" s="14">
        <v>587032</v>
      </c>
      <c r="G108" s="14">
        <f>33642+479478.21</f>
        <v>513120.21</v>
      </c>
      <c r="H108" s="14">
        <f t="shared" si="6"/>
        <v>87.40924004142875</v>
      </c>
    </row>
    <row r="109" spans="1:8" s="23" customFormat="1" ht="22.5" customHeight="1">
      <c r="A109" s="21"/>
      <c r="B109" s="13" t="s">
        <v>110</v>
      </c>
      <c r="C109" s="14">
        <f t="shared" si="7"/>
        <v>100000</v>
      </c>
      <c r="D109" s="17"/>
      <c r="E109" s="14">
        <f t="shared" si="8"/>
        <v>100000</v>
      </c>
      <c r="F109" s="14">
        <v>100000</v>
      </c>
      <c r="G109" s="14"/>
      <c r="H109" s="64">
        <f t="shared" si="6"/>
        <v>0</v>
      </c>
    </row>
    <row r="110" spans="1:8" s="34" customFormat="1" ht="22.5" customHeight="1">
      <c r="A110" s="21"/>
      <c r="B110" s="13" t="s">
        <v>123</v>
      </c>
      <c r="C110" s="14">
        <f>E110</f>
        <v>500000</v>
      </c>
      <c r="D110" s="17"/>
      <c r="E110" s="54">
        <f>F110</f>
        <v>500000</v>
      </c>
      <c r="F110" s="14">
        <v>500000</v>
      </c>
      <c r="G110" s="14"/>
      <c r="H110" s="69"/>
    </row>
    <row r="111" spans="1:8" s="23" customFormat="1" ht="22.5" customHeight="1">
      <c r="A111" s="21"/>
      <c r="B111" s="13" t="s">
        <v>111</v>
      </c>
      <c r="C111" s="14">
        <f t="shared" si="7"/>
        <v>1241860</v>
      </c>
      <c r="D111" s="17"/>
      <c r="E111" s="14">
        <f t="shared" si="8"/>
        <v>1241860</v>
      </c>
      <c r="F111" s="14">
        <v>1241860</v>
      </c>
      <c r="G111" s="14"/>
      <c r="H111" s="64">
        <f t="shared" si="6"/>
        <v>0</v>
      </c>
    </row>
    <row r="112" spans="1:8" s="23" customFormat="1" ht="22.5" customHeight="1">
      <c r="A112" s="21"/>
      <c r="B112" s="13" t="s">
        <v>112</v>
      </c>
      <c r="C112" s="14">
        <f t="shared" si="7"/>
        <v>1389770</v>
      </c>
      <c r="D112" s="17"/>
      <c r="E112" s="14">
        <f t="shared" si="8"/>
        <v>1389770</v>
      </c>
      <c r="F112" s="14">
        <f>1439770-50000</f>
        <v>1389770</v>
      </c>
      <c r="G112" s="14"/>
      <c r="H112" s="64">
        <f t="shared" si="6"/>
        <v>0</v>
      </c>
    </row>
    <row r="113" spans="1:8" s="23" customFormat="1" ht="22.5" customHeight="1">
      <c r="A113" s="21"/>
      <c r="B113" s="13" t="s">
        <v>50</v>
      </c>
      <c r="C113" s="14">
        <f t="shared" si="7"/>
        <v>6015289.85</v>
      </c>
      <c r="D113" s="17"/>
      <c r="E113" s="14">
        <f t="shared" si="8"/>
        <v>6015289.85</v>
      </c>
      <c r="F113" s="14">
        <v>6015289.85</v>
      </c>
      <c r="G113" s="14">
        <f>5520</f>
        <v>5520</v>
      </c>
      <c r="H113" s="14">
        <f t="shared" si="6"/>
        <v>0.09176615155128394</v>
      </c>
    </row>
    <row r="114" spans="1:8" s="23" customFormat="1" ht="22.5" customHeight="1">
      <c r="A114" s="21"/>
      <c r="B114" s="13" t="s">
        <v>113</v>
      </c>
      <c r="C114" s="14">
        <f t="shared" si="7"/>
        <v>869890</v>
      </c>
      <c r="D114" s="17"/>
      <c r="E114" s="14">
        <f t="shared" si="8"/>
        <v>869890</v>
      </c>
      <c r="F114" s="14">
        <v>869890</v>
      </c>
      <c r="G114" s="14"/>
      <c r="H114" s="64">
        <f t="shared" si="6"/>
        <v>0</v>
      </c>
    </row>
    <row r="115" spans="1:8" s="23" customFormat="1" ht="22.5" customHeight="1">
      <c r="A115" s="21"/>
      <c r="B115" s="13" t="s">
        <v>51</v>
      </c>
      <c r="C115" s="14">
        <f t="shared" si="7"/>
        <v>19000000</v>
      </c>
      <c r="D115" s="17"/>
      <c r="E115" s="14">
        <f t="shared" si="8"/>
        <v>19000000</v>
      </c>
      <c r="F115" s="14">
        <f>20000000-1000000</f>
        <v>19000000</v>
      </c>
      <c r="G115" s="14">
        <f>1601127.14+6022765.45+192403.44</f>
        <v>7816296.03</v>
      </c>
      <c r="H115" s="14">
        <f t="shared" si="6"/>
        <v>41.138400157894736</v>
      </c>
    </row>
    <row r="116" spans="1:8" s="23" customFormat="1" ht="22.5" customHeight="1">
      <c r="A116" s="21"/>
      <c r="B116" s="13" t="s">
        <v>114</v>
      </c>
      <c r="C116" s="14">
        <f t="shared" si="7"/>
        <v>1306865</v>
      </c>
      <c r="D116" s="17"/>
      <c r="E116" s="14">
        <f t="shared" si="8"/>
        <v>1306865</v>
      </c>
      <c r="F116" s="14">
        <v>1306865</v>
      </c>
      <c r="G116" s="14">
        <f>415300+359500</f>
        <v>774800</v>
      </c>
      <c r="H116" s="14">
        <f t="shared" si="6"/>
        <v>59.28691945992891</v>
      </c>
    </row>
    <row r="117" spans="1:8" s="23" customFormat="1" ht="22.5" customHeight="1">
      <c r="A117" s="21"/>
      <c r="B117" s="13" t="s">
        <v>115</v>
      </c>
      <c r="C117" s="14">
        <f t="shared" si="7"/>
        <v>0</v>
      </c>
      <c r="D117" s="17"/>
      <c r="E117" s="14">
        <f t="shared" si="8"/>
        <v>0</v>
      </c>
      <c r="F117" s="14">
        <f>200000-200000</f>
        <v>0</v>
      </c>
      <c r="G117" s="14"/>
      <c r="H117" s="64" t="e">
        <f t="shared" si="6"/>
        <v>#DIV/0!</v>
      </c>
    </row>
    <row r="118" spans="1:8" s="23" customFormat="1" ht="22.5" customHeight="1">
      <c r="A118" s="21"/>
      <c r="B118" s="13" t="s">
        <v>128</v>
      </c>
      <c r="C118" s="14">
        <f t="shared" si="7"/>
        <v>450000</v>
      </c>
      <c r="D118" s="17"/>
      <c r="E118" s="14">
        <f t="shared" si="8"/>
        <v>450000</v>
      </c>
      <c r="F118" s="14">
        <v>450000</v>
      </c>
      <c r="G118" s="14"/>
      <c r="H118" s="64">
        <f t="shared" si="6"/>
        <v>0</v>
      </c>
    </row>
    <row r="119" spans="1:8" s="23" customFormat="1" ht="22.5" customHeight="1">
      <c r="A119" s="21"/>
      <c r="B119" s="13" t="s">
        <v>116</v>
      </c>
      <c r="C119" s="14">
        <f t="shared" si="7"/>
        <v>1047000</v>
      </c>
      <c r="D119" s="17"/>
      <c r="E119" s="14">
        <f t="shared" si="8"/>
        <v>1047000</v>
      </c>
      <c r="F119" s="14">
        <v>1047000</v>
      </c>
      <c r="G119" s="14">
        <f>71900</f>
        <v>71900</v>
      </c>
      <c r="H119" s="14">
        <f t="shared" si="6"/>
        <v>6.867239732569246</v>
      </c>
    </row>
    <row r="120" spans="1:8" s="23" customFormat="1" ht="22.5" customHeight="1">
      <c r="A120" s="21"/>
      <c r="B120" s="13" t="s">
        <v>117</v>
      </c>
      <c r="C120" s="14">
        <f t="shared" si="7"/>
        <v>7625000</v>
      </c>
      <c r="D120" s="17"/>
      <c r="E120" s="14">
        <f t="shared" si="8"/>
        <v>7625000</v>
      </c>
      <c r="F120" s="14">
        <f>6625000-5000000+7000000-1000000</f>
        <v>7625000</v>
      </c>
      <c r="G120" s="14">
        <f>514873.6</f>
        <v>514873.6</v>
      </c>
      <c r="H120" s="14">
        <f t="shared" si="6"/>
        <v>6.752440655737704</v>
      </c>
    </row>
    <row r="121" spans="1:8" s="23" customFormat="1" ht="22.5" customHeight="1">
      <c r="A121" s="21"/>
      <c r="B121" s="13" t="s">
        <v>52</v>
      </c>
      <c r="C121" s="14">
        <f t="shared" si="7"/>
        <v>653455</v>
      </c>
      <c r="D121" s="17"/>
      <c r="E121" s="14">
        <f t="shared" si="8"/>
        <v>653455</v>
      </c>
      <c r="F121" s="14">
        <v>653455</v>
      </c>
      <c r="G121" s="14">
        <f>400450+252951.44</f>
        <v>653401.44</v>
      </c>
      <c r="H121" s="14">
        <f t="shared" si="6"/>
        <v>99.99180356719283</v>
      </c>
    </row>
    <row r="122" spans="1:8" s="23" customFormat="1" ht="22.5" customHeight="1">
      <c r="A122" s="21"/>
      <c r="B122" s="13" t="s">
        <v>118</v>
      </c>
      <c r="C122" s="14">
        <f t="shared" si="7"/>
        <v>120000</v>
      </c>
      <c r="D122" s="17"/>
      <c r="E122" s="14">
        <f t="shared" si="8"/>
        <v>120000</v>
      </c>
      <c r="F122" s="14">
        <v>120000</v>
      </c>
      <c r="G122" s="14"/>
      <c r="H122" s="64">
        <f t="shared" si="6"/>
        <v>0</v>
      </c>
    </row>
    <row r="123" spans="1:8" s="23" customFormat="1" ht="22.5" customHeight="1">
      <c r="A123" s="21"/>
      <c r="B123" s="13" t="s">
        <v>119</v>
      </c>
      <c r="C123" s="14">
        <f t="shared" si="7"/>
        <v>1098615</v>
      </c>
      <c r="D123" s="17"/>
      <c r="E123" s="14">
        <f t="shared" si="8"/>
        <v>1098615</v>
      </c>
      <c r="F123" s="14">
        <v>1098615</v>
      </c>
      <c r="G123" s="14">
        <f>612700</f>
        <v>612700</v>
      </c>
      <c r="H123" s="14">
        <f t="shared" si="6"/>
        <v>55.77021977671887</v>
      </c>
    </row>
    <row r="124" spans="1:8" s="23" customFormat="1" ht="18" customHeight="1">
      <c r="A124" s="21"/>
      <c r="B124" s="13" t="s">
        <v>53</v>
      </c>
      <c r="C124" s="14">
        <f aca="true" t="shared" si="9" ref="C124:C133">E124</f>
        <v>19000000</v>
      </c>
      <c r="D124" s="17"/>
      <c r="E124" s="14">
        <f aca="true" t="shared" si="10" ref="E124:E133">F124</f>
        <v>19000000</v>
      </c>
      <c r="F124" s="14">
        <f>20000000-1000000</f>
        <v>19000000</v>
      </c>
      <c r="G124" s="14">
        <f>1654590+1400118+1512394.6+1210103.19+1202411.99</f>
        <v>6979617.779999999</v>
      </c>
      <c r="H124" s="14">
        <f t="shared" si="6"/>
        <v>36.73483042105263</v>
      </c>
    </row>
    <row r="125" spans="1:8" s="23" customFormat="1" ht="18" customHeight="1">
      <c r="A125" s="21"/>
      <c r="B125" s="13" t="s">
        <v>126</v>
      </c>
      <c r="C125" s="14">
        <f t="shared" si="9"/>
        <v>1202852</v>
      </c>
      <c r="D125" s="17"/>
      <c r="E125" s="14">
        <f t="shared" si="10"/>
        <v>1202852</v>
      </c>
      <c r="F125" s="14">
        <v>1202852</v>
      </c>
      <c r="G125" s="14">
        <f>410945</f>
        <v>410945</v>
      </c>
      <c r="H125" s="14">
        <f t="shared" si="6"/>
        <v>34.1642197045023</v>
      </c>
    </row>
    <row r="126" spans="1:8" s="23" customFormat="1" ht="18" customHeight="1">
      <c r="A126" s="21"/>
      <c r="B126" s="13" t="s">
        <v>120</v>
      </c>
      <c r="C126" s="14">
        <f t="shared" si="9"/>
        <v>188517.54</v>
      </c>
      <c r="D126" s="17"/>
      <c r="E126" s="14">
        <f t="shared" si="10"/>
        <v>188517.54</v>
      </c>
      <c r="F126" s="14">
        <v>188517.54</v>
      </c>
      <c r="G126" s="14">
        <f>188517.54-38515</f>
        <v>150002.54</v>
      </c>
      <c r="H126" s="14">
        <f t="shared" si="6"/>
        <v>79.56954031969651</v>
      </c>
    </row>
    <row r="127" spans="1:8" s="23" customFormat="1" ht="18" customHeight="1">
      <c r="A127" s="21"/>
      <c r="B127" s="13" t="s">
        <v>121</v>
      </c>
      <c r="C127" s="14">
        <f t="shared" si="9"/>
        <v>1334316.4</v>
      </c>
      <c r="D127" s="17"/>
      <c r="E127" s="14">
        <f t="shared" si="10"/>
        <v>1334316.4</v>
      </c>
      <c r="F127" s="14">
        <v>1334316.4</v>
      </c>
      <c r="G127" s="14">
        <v>1334316.4</v>
      </c>
      <c r="H127" s="14">
        <f t="shared" si="6"/>
        <v>100</v>
      </c>
    </row>
    <row r="128" spans="1:8" s="23" customFormat="1" ht="18" customHeight="1">
      <c r="A128" s="21"/>
      <c r="B128" s="13" t="s">
        <v>122</v>
      </c>
      <c r="C128" s="14">
        <f t="shared" si="9"/>
        <v>119695.6</v>
      </c>
      <c r="D128" s="17"/>
      <c r="E128" s="14">
        <f t="shared" si="10"/>
        <v>119695.6</v>
      </c>
      <c r="F128" s="14">
        <v>119695.6</v>
      </c>
      <c r="G128" s="14"/>
      <c r="H128" s="64">
        <f t="shared" si="6"/>
        <v>0</v>
      </c>
    </row>
    <row r="129" spans="1:8" s="23" customFormat="1" ht="18" customHeight="1">
      <c r="A129" s="21"/>
      <c r="B129" s="13" t="s">
        <v>55</v>
      </c>
      <c r="C129" s="14">
        <f t="shared" si="9"/>
        <v>4018084.68</v>
      </c>
      <c r="D129" s="17"/>
      <c r="E129" s="14">
        <f t="shared" si="10"/>
        <v>4018084.68</v>
      </c>
      <c r="F129" s="14">
        <v>4018084.68</v>
      </c>
      <c r="G129" s="14">
        <f>23838.87</f>
        <v>23838.87</v>
      </c>
      <c r="H129" s="14">
        <f t="shared" si="6"/>
        <v>0.5932893878184767</v>
      </c>
    </row>
    <row r="130" spans="1:8" s="23" customFormat="1" ht="18" customHeight="1">
      <c r="A130" s="21"/>
      <c r="B130" s="13" t="s">
        <v>54</v>
      </c>
      <c r="C130" s="14">
        <f t="shared" si="9"/>
        <v>6572376.13</v>
      </c>
      <c r="D130" s="17"/>
      <c r="E130" s="14">
        <f t="shared" si="10"/>
        <v>6572376.13</v>
      </c>
      <c r="F130" s="14">
        <v>6572376.13</v>
      </c>
      <c r="G130" s="14">
        <v>6524474.27</v>
      </c>
      <c r="H130" s="14">
        <f t="shared" si="6"/>
        <v>99.27116374576693</v>
      </c>
    </row>
    <row r="131" spans="1:8" s="23" customFormat="1" ht="18" customHeight="1">
      <c r="A131" s="21"/>
      <c r="B131" s="13" t="s">
        <v>56</v>
      </c>
      <c r="C131" s="14">
        <f t="shared" si="9"/>
        <v>6777200</v>
      </c>
      <c r="D131" s="17"/>
      <c r="E131" s="14">
        <f t="shared" si="10"/>
        <v>6777200</v>
      </c>
      <c r="F131" s="14">
        <v>6777200</v>
      </c>
      <c r="G131" s="14"/>
      <c r="H131" s="64">
        <f t="shared" si="6"/>
        <v>0</v>
      </c>
    </row>
    <row r="132" spans="1:8" s="23" customFormat="1" ht="18" customHeight="1">
      <c r="A132" s="21"/>
      <c r="B132" s="13" t="s">
        <v>57</v>
      </c>
      <c r="C132" s="14">
        <f t="shared" si="9"/>
        <v>2000000</v>
      </c>
      <c r="D132" s="17"/>
      <c r="E132" s="14">
        <f t="shared" si="10"/>
        <v>2000000</v>
      </c>
      <c r="F132" s="14">
        <f>3000000-1000000</f>
        <v>2000000</v>
      </c>
      <c r="G132" s="14"/>
      <c r="H132" s="64">
        <f t="shared" si="6"/>
        <v>0</v>
      </c>
    </row>
    <row r="133" spans="1:8" s="23" customFormat="1" ht="18" customHeight="1">
      <c r="A133" s="21"/>
      <c r="B133" s="13" t="s">
        <v>58</v>
      </c>
      <c r="C133" s="14">
        <f t="shared" si="9"/>
        <v>453107</v>
      </c>
      <c r="D133" s="17"/>
      <c r="E133" s="14">
        <f t="shared" si="10"/>
        <v>453107</v>
      </c>
      <c r="F133" s="14">
        <v>453107</v>
      </c>
      <c r="G133" s="14">
        <f>163584</f>
        <v>163584</v>
      </c>
      <c r="H133" s="14">
        <f t="shared" si="6"/>
        <v>36.10273070157821</v>
      </c>
    </row>
    <row r="134" spans="1:8" ht="17.25">
      <c r="A134" s="18"/>
      <c r="B134" s="19" t="s">
        <v>10</v>
      </c>
      <c r="C134" s="6">
        <f>C10+C85</f>
        <v>320508570.69</v>
      </c>
      <c r="D134" s="6">
        <f>D10+D85</f>
        <v>125625253.78999999</v>
      </c>
      <c r="E134" s="6">
        <f>E10+E85</f>
        <v>194883316.9</v>
      </c>
      <c r="F134" s="6">
        <f>F10+F85</f>
        <v>194883068.58</v>
      </c>
      <c r="G134" s="6">
        <f>G10+G85</f>
        <v>109860926.15</v>
      </c>
      <c r="H134" s="6">
        <f>(G134/(C134))*100</f>
        <v>34.27706345371303</v>
      </c>
    </row>
    <row r="135" spans="1:4" ht="17.25">
      <c r="A135" s="36"/>
      <c r="B135" s="37"/>
      <c r="C135" s="38"/>
      <c r="D135" s="38"/>
    </row>
    <row r="136" spans="1:8" ht="18">
      <c r="A136" s="39"/>
      <c r="B136" s="41"/>
      <c r="C136" s="42"/>
      <c r="D136" s="40"/>
      <c r="G136" s="66"/>
      <c r="H136" s="61"/>
    </row>
  </sheetData>
  <sheetProtection/>
  <mergeCells count="10">
    <mergeCell ref="B2:H2"/>
    <mergeCell ref="B3:H3"/>
    <mergeCell ref="G6:G7"/>
    <mergeCell ref="C1:D1"/>
    <mergeCell ref="A6:A7"/>
    <mergeCell ref="B6:B7"/>
    <mergeCell ref="C6:C7"/>
    <mergeCell ref="D6:D7"/>
    <mergeCell ref="E6:E7"/>
    <mergeCell ref="H6:H7"/>
  </mergeCells>
  <printOptions/>
  <pageMargins left="0.5118110236220472" right="0.3937007874015748" top="0.4330708661417323" bottom="0.5511811023622047" header="0.31496062992125984" footer="0.31496062992125984"/>
  <pageSetup fitToHeight="3" fitToWidth="1" horizontalDpi="600" verticalDpi="600" orientation="landscape" paperSize="9" scale="49" r:id="rId1"/>
  <colBreaks count="1" manualBreakCount="1">
    <brk id="1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2020-02-14T06:34:59Z</cp:lastPrinted>
  <dcterms:created xsi:type="dcterms:W3CDTF">2014-01-17T10:52:16Z</dcterms:created>
  <dcterms:modified xsi:type="dcterms:W3CDTF">2020-06-02T13:55:43Z</dcterms:modified>
  <cp:category/>
  <cp:version/>
  <cp:contentType/>
  <cp:contentStatus/>
</cp:coreProperties>
</file>